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b80209f3a43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tradas" sheetId="1" r:id="R0b508fc5831a4fe5"/>
    <x:sheet xmlns:r="http://schemas.openxmlformats.org/officeDocument/2006/relationships" name="Agricultura" sheetId="2" r:id="R70b0f927fdc549a4"/>
    <x:sheet xmlns:r="http://schemas.openxmlformats.org/officeDocument/2006/relationships" name="Electricidad" sheetId="3" r:id="R3b04498170244319"/>
    <x:sheet xmlns:r="http://schemas.openxmlformats.org/officeDocument/2006/relationships" name="Cálculos" sheetId="4" r:id="R5fac9458e21a4402"/>
    <x:sheet xmlns:r="http://schemas.openxmlformats.org/officeDocument/2006/relationships" name="Resumen" sheetId="5" r:id="R97d7e7d2fd234572"/>
    <x:sheet xmlns:r="http://schemas.openxmlformats.org/officeDocument/2006/relationships" name="Sensibilidad" sheetId="6" r:id="Rc366316da90f4ec8"/>
    <x:sheet xmlns:r="http://schemas.openxmlformats.org/officeDocument/2006/relationships" name="Fuentes" sheetId="7" r:id="R7426b88abdb44cb6"/>
    <x:sheet xmlns:r="http://schemas.openxmlformats.org/officeDocument/2006/relationships" name="Generación" sheetId="8" r:id="R44244f5e22f749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0.0%"/>
    <x:numFmt numFmtId="201" formatCode="0.0"/>
    <x:numFmt numFmtId="202" formatCode="#,##0"/>
    <x:numFmt numFmtId="203" formatCode="0.000"/>
    <x:numFmt numFmtId="204" formatCode="#,##0.0"/>
    <x:numFmt numFmtId="205" formatCode="0.0 &quot;GWh/año&quot;"/>
    <x:numFmt numFmtId="206" formatCode="0.00"/>
    <x:numFmt numFmtId="207" formatCode="#,##0.00"/>
    <x:numFmt numFmtId="208" formatCode="0"/>
  </x:numFmts>
  <x:fonts count="9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83B32"/>
      <x:name val="Carlito"/>
    </x:font>
    <x:font>
      <x:sz val="11"/>
      <x:color rgb="FF0000FF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color rgb="FF173F35"/>
      <x:name val="Carlito"/>
    </x:font>
    <x:font>
      <x:b/>
      <x:sz val="15"/>
      <x:color rgb="FF173F35"/>
      <x:name val="Carlito"/>
    </x:font>
    <x:font>
      <x:sz val="10"/>
      <x:color rgb="FF1F2937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63F34"/>
      </x:patternFill>
    </x:fill>
    <x:fill>
      <x:patternFill patternType="solid">
        <x:fgColor rgb="FFDDECE5"/>
      </x:patternFill>
    </x:fill>
    <x:fill>
      <x:patternFill patternType="solid">
        <x:fgColor rgb="FFFFF7CF"/>
      </x:patternFill>
    </x:fill>
    <x:fill>
      <x:patternFill patternType="solid">
        <x:fgColor rgb="FF2B6B58"/>
      </x:patternFill>
    </x:fill>
    <x:fill>
      <x:patternFill patternType="solid">
        <x:fgColor rgb="FF173F35"/>
      </x:patternFill>
    </x:fill>
    <x:fill>
      <x:patternFill patternType="solid">
        <x:fgColor rgb="FFDCEFE8"/>
      </x:patternFill>
    </x:fill>
    <x:fill>
      <x:patternFill patternType="solid">
        <x:fgColor rgb="FFEAF5F1"/>
      </x:patternFill>
    </x:fill>
  </x:fills>
  <x:borders count="2">
    <x:border/>
    <x:border/>
  </x:borders>
  <x:cellStyleXfs count="1">
    <x:xf numFmtId="0" fontId="0" fillId="0" borderId="0"/>
  </x:cellStyleXfs>
  <x:cellXfs count="1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2" fillId="3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/>
    <x:xf numFmtId="200" fontId="2" fillId="3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1" fontId="2" fillId="3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/>
    <x:xf numFmtId="201" fontId="2" fillId="3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2" fillId="3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/>
    <x:xf numFmtId="202" fontId="2" fillId="3" borderId="1" xfId="0" applyNumberFormat="1" applyFont="1" applyFill="1" applyBorder="1" applyAlignment="1">
      <x:alignment vertical="center" wrapText="1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2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4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4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vertical="center"/>
    </x:xf>
    <x:xf numFmtId="204" fontId="4" fillId="5" borderId="0" xfId="0" applyNumberFormat="1" applyFont="1" applyFill="1" applyBorder="1" applyAlignment="1">
      <x:alignment vertical="center"/>
    </x:xf>
    <x:xf numFmtId="204" fontId="4" fillId="5" borderId="1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204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204" fontId="4" fillId="5" borderId="1" xfId="0" applyNumberFormat="1" applyFont="1" applyFill="1" applyBorder="1" applyAlignment="1">
      <x:alignment vertical="center" wrapText="1"/>
    </x:xf>
    <x:xf numFmtId="205" fontId="0" fillId="0" borderId="0" xfId="0" applyNumberFormat="1" applyFont="1" applyFill="1" applyBorder="1"/>
    <x:xf numFmtId="205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left"/>
    </x:xf>
    <x:xf numFmtId="0" fontId="5" fillId="6" borderId="0" xfId="0" applyNumberFormat="1" applyFont="1" applyFill="1" applyBorder="1" applyAlignment="1">
      <x:alignment horizontal="left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horizontal="center" wrapText="1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5" fillId="6" borderId="0" xfId="0" applyNumberFormat="1" applyFont="1" applyFill="1" applyBorder="1" applyAlignment="1">
      <x:alignment horizontal="left" vertical="center" wrapText="1"/>
    </x:xf>
    <x:xf numFmtId="0" fontId="6" fillId="8" borderId="0" xfId="0" applyNumberFormat="1" applyFont="1" applyFill="1" applyBorder="1" applyAlignment="1">
      <x:alignment wrapText="1"/>
    </x:xf>
    <x:xf numFmtId="206" fontId="0" fillId="0" borderId="0" xfId="0" applyNumberFormat="1" applyFont="1" applyFill="1" applyBorder="1" applyAlignment="1">
      <x:alignment wrapText="1"/>
    </x:xf>
    <x:xf numFmtId="206" fontId="6" fillId="8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2" fillId="7" borderId="0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 applyAlignment="1">
      <x:alignment wrapText="1"/>
    </x:xf>
    <x:xf numFmtId="202" fontId="0" fillId="8" borderId="0" xfId="0" applyNumberFormat="1" applyFont="1" applyFill="1" applyBorder="1" applyAlignment="1">
      <x:alignment wrapText="1"/>
    </x:xf>
    <x:xf numFmtId="203" fontId="0" fillId="8" borderId="0" xfId="0" applyNumberFormat="1" applyFont="1" applyFill="1" applyBorder="1" applyAlignment="1">
      <x:alignment wrapText="1"/>
    </x:xf>
    <x:xf numFmtId="204" fontId="0" fillId="8" borderId="0" xfId="0" applyNumberFormat="1" applyFont="1" applyFill="1" applyBorder="1" applyAlignment="1">
      <x:alignment wrapText="1"/>
    </x:xf>
    <x:xf numFmtId="202" fontId="6" fillId="8" borderId="0" xfId="0" applyNumberFormat="1" applyFont="1" applyFill="1" applyBorder="1" applyAlignment="1">
      <x:alignment wrapText="1"/>
    </x:xf>
    <x:xf numFmtId="203" fontId="6" fillId="8" borderId="0" xfId="0" applyNumberFormat="1" applyFont="1" applyFill="1" applyBorder="1" applyAlignment="1">
      <x:alignment wrapText="1"/>
    </x:xf>
    <x:xf numFmtId="204" fontId="6" fillId="8" borderId="0" xfId="0" applyNumberFormat="1" applyFont="1" applyFill="1" applyBorder="1" applyAlignment="1">
      <x:alignment wrapText="1"/>
    </x:xf>
    <x:xf numFmtId="207" fontId="0" fillId="0" borderId="0" xfId="0" applyNumberFormat="1" applyFont="1" applyFill="1" applyBorder="1" applyAlignment="1">
      <x:alignment wrapText="1"/>
    </x:xf>
    <x:xf numFmtId="207" fontId="6" fillId="8" borderId="0" xfId="0" applyNumberFormat="1" applyFont="1" applyFill="1" applyBorder="1" applyAlignment="1">
      <x:alignment wrapText="1"/>
    </x:xf>
    <x:xf numFmtId="207" fontId="2" fillId="3" borderId="0" xfId="0" applyNumberFormat="1" applyFont="1" applyFill="1" applyBorder="1" applyAlignment="1">
      <x:alignment vertical="center" wrapText="1"/>
    </x:xf>
    <x:xf numFmtId="207" fontId="0" fillId="0" borderId="0" xfId="0" applyNumberFormat="1" applyFont="1" applyFill="1" applyBorder="1"/>
    <x:xf numFmtId="207" fontId="6" fillId="8" borderId="0" xfId="0" applyNumberFormat="1" applyFont="1" applyFill="1" applyBorder="1"/>
    <x:xf numFmtId="200" fontId="4" fillId="5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horizontal="left"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horizontal="left" vertical="center"/>
    </x:xf>
    <x:xf numFmtId="208" fontId="0" fillId="0" borderId="0" xfId="0" applyNumberFormat="1" applyFont="1" applyFill="1" applyBorder="1"/>
    <x:xf numFmtId="0" fontId="4" fillId="7" borderId="0" xfId="0" applyNumberFormat="1" applyFont="1" applyFill="1" applyBorder="1" applyAlignment="1">
      <x:alignment vertical="center"/>
    </x:xf>
    <x:xf numFmtId="200" fontId="4" fillId="7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/>
    </x:xf>
    <x:xf numFmtId="200" fontId="6" fillId="7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7be18e01a4a25" /><Relationship Type="http://schemas.openxmlformats.org/officeDocument/2006/relationships/theme" Target="/xl/theme/theme1.xml" Id="R89d925fb49c5496a" /><Relationship Type="http://schemas.openxmlformats.org/officeDocument/2006/relationships/sharedStrings" Target="/xl/sharedStrings.xml" Id="R612828c0289a4b77" /><Relationship Type="http://schemas.openxmlformats.org/officeDocument/2006/relationships/worksheet" Target="/xl/worksheets/sheet1.xml" Id="R0b508fc5831a4fe5" /><Relationship Type="http://schemas.openxmlformats.org/officeDocument/2006/relationships/worksheet" Target="/xl/worksheets/sheet2.xml" Id="R70b0f927fdc549a4" /><Relationship Type="http://schemas.openxmlformats.org/officeDocument/2006/relationships/worksheet" Target="/xl/worksheets/sheet3.xml" Id="R3b04498170244319" /><Relationship Type="http://schemas.openxmlformats.org/officeDocument/2006/relationships/worksheet" Target="/xl/worksheets/sheet4.xml" Id="R5fac9458e21a4402" /><Relationship Type="http://schemas.openxmlformats.org/officeDocument/2006/relationships/worksheet" Target="/xl/worksheets/sheet5.xml" Id="R97d7e7d2fd234572" /><Relationship Type="http://schemas.openxmlformats.org/officeDocument/2006/relationships/worksheet" Target="/xl/worksheets/sheet6.xml" Id="Rc366316da90f4ec8" /><Relationship Type="http://schemas.openxmlformats.org/officeDocument/2006/relationships/worksheet" Target="/xl/worksheets/sheet7.xml" Id="R7426b88abdb44cb6" /><Relationship Type="http://schemas.openxmlformats.org/officeDocument/2006/relationships/worksheet" Target="/xl/worksheets/sheet8.xml" Id="R44244f5e22f7498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fd1979c23b0497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Emisiones operativas anuales (tCO2e/año)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Convencional</c:v>
          </c:tx>
          <c:cat>
            <c:strRef>
              <c:f>'Resumen'!$A$23:$A$24</c:f>
              <c:strCache>
                <c:ptCount val="0"/>
              </c:strCache>
            </c:strRef>
          </c:cat>
          <c:val>
            <c:numRef>
              <c:f>'Resumen'!$B$23:$B$24</c:f>
              <c:numCache>
                <c:formatCode>#,##0</c:formatCode>
                <c:ptCount val="0"/>
              </c:numCache>
            </c:numRef>
          </c:val>
        </c:ser>
        <c:ser>
          <c:idx val="1"/>
          <c:order val="1"/>
          <c:tx>
            <c:v>Proyecto</c:v>
          </c:tx>
          <c:cat>
            <c:strRef>
              <c:f>'Resumen'!$A$23:$A$24</c:f>
              <c:strCache>
                <c:ptCount val="0"/>
              </c:strCache>
            </c:strRef>
          </c:cat>
          <c:val>
            <c:numRef>
              <c:f>'Resumen'!$C$23:$C$24</c:f>
              <c:numCache>
                <c:formatCode>#,##0</c:formatCode>
                <c:ptCount val="0"/>
              </c:numCache>
            </c:numRef>
          </c:val>
        </c:ser>
        <c:ser>
          <c:idx val="2"/>
          <c:order val="2"/>
          <c:tx>
            <c:v>Máximo futuro</c:v>
          </c:tx>
          <c:cat>
            <c:strRef>
              <c:f>'Resumen'!$A$23:$A$24</c:f>
              <c:strCache>
                <c:ptCount val="0"/>
              </c:strCache>
            </c:strRef>
          </c:cat>
          <c:val>
            <c:numRef>
              <c:f>'Resumen'!$D$23:$D$24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21</xdr:row>
      <xdr:rowOff>0</xdr:rowOff>
    </xdr:from>
    <xdr:to>
      <xdr:col>14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fd1979c23b0497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a96ec1f6e6b945e7" /></Relationships>
</file>

<file path=xl/worksheets/sheet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18" hidden="0" customWidth="1"/>
    <x:col min="3" max="3" width="22" hidden="0" customWidth="1"/>
    <x:col min="4" max="4" width="16" hidden="0" customWidth="1"/>
    <x:col min="5" max="5" width="16" hidden="0" customWidth="1"/>
    <x:col min="6" max="6" width="16" hidden="0" customWidth="1"/>
    <x:col min="7" max="7" width="46" hidden="0" customWidth="1"/>
    <x:col min="8" max="8" width="48" hidden="0" customWidth="1"/>
  </x:cols>
  <x:sheetData>
    <x:row r="1" ht="29" customHeight="1">
      <x:c r="A1" s="98" t="str">
        <x:v>Los Jardines Digitales — Modelo físico de carbono · seis sitios renovables</x:v>
      </x:c>
      <x:c r="B1" s="4"/>
      <x:c r="C1" s="4"/>
      <x:c r="D1" s="4"/>
      <x:c r="E1" s="4"/>
      <x:c r="F1" s="4"/>
      <x:c r="G1" s="4"/>
      <x:c r="H1" s="4"/>
    </x:row>
    <x:row r="3">
      <x:c r="A3" s="11" t="str">
        <x:v>Parámetro</x:v>
      </x:c>
      <x:c r="B3" s="11" t="str">
        <x:v>Símbolo</x:v>
      </x:c>
      <x:c r="C3" s="11" t="str">
        <x:v>Unidad</x:v>
      </x:c>
      <x:c r="D3" s="11" t="str">
        <x:v>Comunidad convencional</x:v>
      </x:c>
      <x:c r="E3" s="11" t="str">
        <x:v>Diseño del proyecto</x:v>
      </x:c>
      <x:c r="F3" s="11" t="str">
        <x:v>Máximo futuro</x:v>
      </x:c>
      <x:c r="G3" s="11" t="str">
        <x:v>Base / fuente</x:v>
      </x:c>
      <x:c r="H3" s="11" t="str">
        <x:v>Nota de modelado</x:v>
      </x:c>
    </x:row>
    <x:row r="4">
      <x:c r="A4" s="20" t="str">
        <x:v>Población</x:v>
      </x:c>
      <x:c r="B4" s="20" t="str">
        <x:v>POP</x:v>
      </x:c>
      <x:c r="C4" s="20" t="str">
        <x:v>personas</x:v>
      </x:c>
      <x:c r="D4" s="21" t="n">
        <x:v>8185</x:v>
      </x:c>
      <x:c r="E4" s="21" t="n">
        <x:v>8185</x:v>
      </x:c>
      <x:c r="F4" s="21" t="n">
        <x:v>8185</x:v>
      </x:c>
      <x:c r="G4" s="20" t="str">
        <x:v>CERO Teruel — Schedule 1A</x:v>
      </x:c>
      <x:c r="H4" s="20" t="str">
        <x:v>Corredor de ocho municipios</x:v>
      </x:c>
    </x:row>
    <x:row r="5">
      <x:c r="A5" s="20" t="str">
        <x:v>Hogares</x:v>
      </x:c>
      <x:c r="B5" s="20" t="str">
        <x:v>HH</x:v>
      </x:c>
      <x:c r="C5" s="20" t="str">
        <x:v>hogares</x:v>
      </x:c>
      <x:c r="D5" s="21" t="n">
        <x:v>3461</x:v>
      </x:c>
      <x:c r="E5" s="21" t="n">
        <x:v>3461</x:v>
      </x:c>
      <x:c r="F5" s="21" t="n">
        <x:v>3461</x:v>
      </x:c>
      <x:c r="G5" s="20" t="str">
        <x:v>CERO Teruel — asignación de hogares</x:v>
      </x:c>
      <x:c r="H5" s="20" t="str"/>
    </x:row>
    <x:row r="6">
      <x:c r="A6" s="20" t="str">
        <x:v>Hogares con red de calor</x:v>
      </x:c>
      <x:c r="B6" s="20" t="str">
        <x:v>DH_HH</x:v>
      </x:c>
      <x:c r="C6" s="20" t="str">
        <x:v>hogares</x:v>
      </x:c>
      <x:c r="D6" s="21" t="n">
        <x:v>0</x:v>
      </x:c>
      <x:c r="E6" s="21" t="n">
        <x:v>2847</x:v>
      </x:c>
      <x:c r="F6" s="21" t="n">
        <x:v>2847</x:v>
      </x:c>
      <x:c r="G6" s="20" t="str">
        <x:v>CERO Teruel — Schedule 2C</x:v>
      </x:c>
      <x:c r="H6" s="20" t="str"/>
    </x:row>
    <x:row r="7">
      <x:c r="A7" s="20" t="str">
        <x:v>Vehículos modelados</x:v>
      </x:c>
      <x:c r="B7" s="20" t="str">
        <x:v>VEH</x:v>
      </x:c>
      <x:c r="C7" s="20" t="str">
        <x:v>vehículos</x:v>
      </x:c>
      <x:c r="D7" s="21" t="n">
        <x:v>4037</x:v>
      </x:c>
      <x:c r="E7" s="21" t="n">
        <x:v>4037</x:v>
      </x:c>
      <x:c r="F7" s="21" t="n">
        <x:v>4037</x:v>
      </x:c>
      <x:c r="G7" s="20" t="str">
        <x:v>CERO Teruel — Schedule 3A</x:v>
      </x:c>
      <x:c r="H7" s="20" t="str"/>
    </x:row>
    <x:row r="8">
      <x:c r="A8" s="20" t="str">
        <x:v>Distancia anual por vehículo</x:v>
      </x:c>
      <x:c r="B8" s="20" t="str">
        <x:v>KM_VEH</x:v>
      </x:c>
      <x:c r="C8" s="20" t="str">
        <x:v>km/año</x:v>
      </x:c>
      <x:c r="D8" s="21" t="n">
        <x:v>12000</x:v>
      </x:c>
      <x:c r="E8" s="21" t="n">
        <x:v>12000</x:v>
      </x:c>
      <x:c r="F8" s="21" t="n">
        <x:v>12000</x:v>
      </x:c>
      <x:c r="G8" s="20" t="str">
        <x:v>CERO Teruel — Schedule 2B</x:v>
      </x:c>
      <x:c r="H8" s="20" t="str"/>
    </x:row>
    <x:row r="9">
      <x:c r="A9" s="20" t="str">
        <x:v>Carga IT continua</x:v>
      </x:c>
      <x:c r="B9" s="20" t="str">
        <x:v>IT_MW</x:v>
      </x:c>
      <x:c r="C9" s="20" t="str">
        <x:v>MW</x:v>
      </x:c>
      <x:c r="D9" s="21" t="n">
        <x:v>35.74</x:v>
      </x:c>
      <x:c r="E9" s="21" t="n">
        <x:v>35.74</x:v>
      </x:c>
      <x:c r="F9" s="21" t="n">
        <x:v>35.74</x:v>
      </x:c>
      <x:c r="G9" s="20" t="str">
        <x:v>CERO Teruel — Schedule 1A</x:v>
      </x:c>
      <x:c r="H9" s="20" t="str">
        <x:v>Mismo servicio informático en la comparación integrada</x:v>
      </x:c>
    </x:row>
    <x:row r="10">
      <x:c r="A10" s="20" t="str">
        <x:v>PUE centro convencional</x:v>
      </x:c>
      <x:c r="B10" s="20" t="str">
        <x:v>PUE_REF</x:v>
      </x:c>
      <x:c r="C10" s="20" t="str">
        <x:v>ratio</x:v>
      </x:c>
      <x:c r="D10" s="21" t="n">
        <x:v>1.45</x:v>
      </x:c>
      <x:c r="E10" s="21" t="n">
        <x:v>1.45</x:v>
      </x:c>
      <x:c r="F10" s="21" t="n">
        <x:v>1.45</x:v>
      </x:c>
      <x:c r="G10" s="20" t="str">
        <x:v>Referencia europea moderna</x:v>
      </x:c>
      <x:c r="H10" s="20" t="str">
        <x:v>Editable</x:v>
      </x:c>
    </x:row>
    <x:row r="11">
      <x:c r="A11" s="20" t="str">
        <x:v>PUE proyecto</x:v>
      </x:c>
      <x:c r="B11" s="20" t="str">
        <x:v>PUE_PROJ</x:v>
      </x:c>
      <x:c r="C11" s="20" t="str">
        <x:v>ratio</x:v>
      </x:c>
      <x:c r="D11" s="21" t="n">
        <x:v>1.223</x:v>
      </x:c>
      <x:c r="E11" s="21" t="n">
        <x:v>1.223</x:v>
      </x:c>
      <x:c r="F11" s="21" t="n">
        <x:v>1.223</x:v>
      </x:c>
      <x:c r="G11" s="20" t="str">
        <x:v>CERO Teruel — Schedule 7</x:v>
      </x:c>
      <x:c r="H11" s="20" t="str"/>
    </x:row>
    <x:row r="12">
      <x:c r="A12" s="20" t="str">
        <x:v>Intensidad red España</x:v>
      </x:c>
      <x:c r="B12" s="20" t="str">
        <x:v>EF_GRID</x:v>
      </x:c>
      <x:c r="C12" s="20" t="str">
        <x:v>kg CO2e/kWh</x:v>
      </x:c>
      <x:c r="D12" s="21" t="n">
        <x:v>0.258</x:v>
      </x:c>
      <x:c r="E12" s="21" t="n">
        <x:v>0.258</x:v>
      </x:c>
      <x:c r="F12" s="21" t="n">
        <x:v>0.258</x:v>
      </x:c>
      <x:c r="G12" s="20" t="str">
        <x:v>España 2025</x:v>
      </x:c>
      <x:c r="H12" s="20" t="str">
        <x:v>Referencia de red</x:v>
      </x:c>
    </x:row>
    <x:row r="13">
      <x:c r="A13" s="20" t="str">
        <x:v>Generación propia eólica + solar</x:v>
      </x:c>
      <x:c r="B13" s="20" t="str">
        <x:v>OWN_GEN</x:v>
      </x:c>
      <x:c r="C13" s="20" t="str">
        <x:v>kWh/año</x:v>
      </x:c>
      <x:c r="D13" s="21" t="n">
        <x:v>0</x:v>
      </x:c>
      <x:c r="E13" s="21" t="n">
        <x:f>'Generación'!$E$10*1000000</x:f>
        <x:v>298199999.99999994</x:v>
      </x:c>
      <x:c r="F13" s="21" t="n">
        <x:f>'Generación'!$E$10*1000000</x:f>
        <x:v>298199999.99999994</x:v>
      </x:c>
      <x:c r="G13" s="20" t="str">
        <x:v>6 sitios × (15 MW eólico + 5 MWp solar)</x:v>
      </x:c>
      <x:c r="H13" s="20" t="str">
        <x:v>≈298,2 GWh/año; se asigna primero a TODA la demanda eléctrica del proyecto antes de cualquier exportación.</x:v>
      </x:c>
    </x:row>
    <x:row r="14">
      <x:c r="A14" s="20" t="str">
        <x:v>Huella generación propia</x:v>
      </x:c>
      <x:c r="B14" s="20" t="str">
        <x:v>EF_OWN</x:v>
      </x:c>
      <x:c r="C14" s="20" t="str">
        <x:v>kg CO2e/kWh</x:v>
      </x:c>
      <x:c r="D14" s="21" t="n">
        <x:v>0</x:v>
      </x:c>
      <x:c r="E14" s="21" t="n">
        <x:v>0.02</x:v>
      </x:c>
      <x:c r="F14" s="21" t="n">
        <x:v>0.02</x:v>
      </x:c>
      <x:c r="G14" s="20" t="str">
        <x:v>Escenario LCA bajo en carbono</x:v>
      </x:c>
      <x:c r="H14" s="20" t="str">
        <x:v>Editable</x:v>
      </x:c>
    </x:row>
    <x:row r="15">
      <x:c r="A15" s="20" t="str">
        <x:v>Huella PPA renovable</x:v>
      </x:c>
      <x:c r="B15" s="20" t="str">
        <x:v>EF_PPA</x:v>
      </x:c>
      <x:c r="C15" s="20" t="str">
        <x:v>kg CO2e/kWh</x:v>
      </x:c>
      <x:c r="D15" s="21" t="n">
        <x:v>0.258</x:v>
      </x:c>
      <x:c r="E15" s="21" t="n">
        <x:v>0.02</x:v>
      </x:c>
      <x:c r="F15" s="21" t="n">
        <x:v>0.02</x:v>
      </x:c>
      <x:c r="G15" s="20" t="str">
        <x:v>PPA 100% renovable con matching horario</x:v>
      </x:c>
      <x:c r="H15" s="20" t="str">
        <x:v>Editable</x:v>
      </x:c>
    </x:row>
    <x:row r="16">
      <x:c r="A16" s="20" t="str">
        <x:v>Electricidad doméstica</x:v>
      </x:c>
      <x:c r="B16" s="20" t="str">
        <x:v>HH_ELEC</x:v>
      </x:c>
      <x:c r="C16" s="20" t="str">
        <x:v>kWh/hogar-año</x:v>
      </x:c>
      <x:c r="D16" s="21" t="n">
        <x:v>2731.6</x:v>
      </x:c>
      <x:c r="E16" s="21" t="n">
        <x:v>2731.6</x:v>
      </x:c>
      <x:c r="F16" s="21" t="n">
        <x:v>2731.6</x:v>
      </x:c>
      <x:c r="G16" s="20" t="str">
        <x:v>INE 2023</x:v>
      </x:c>
      <x:c r="H16" s="20" t="str">
        <x:v>En proyecto se modela vendida/suministrada desde generación propia</x:v>
      </x:c>
    </x:row>
    <x:row r="17">
      <x:c r="A17" s="20" t="str">
        <x:v>Calor útil vivienda</x:v>
      </x:c>
      <x:c r="B17" s="20" t="str">
        <x:v>HEAT_HH</x:v>
      </x:c>
      <x:c r="C17" s="20" t="str">
        <x:v>kWhth/hogar-año</x:v>
      </x:c>
      <x:c r="D17" s="21" t="n">
        <x:v>18050</x:v>
      </x:c>
      <x:c r="E17" s="21" t="n">
        <x:v>18050</x:v>
      </x:c>
      <x:c r="F17" s="21" t="n">
        <x:v>18050</x:v>
      </x:c>
      <x:c r="G17" s="20" t="str">
        <x:v>CERO Teruel — Schedule 2C</x:v>
      </x:c>
      <x:c r="H17" s="20" t="str"/>
    </x:row>
    <x:row r="18">
      <x:c r="A18" s="20" t="str">
        <x:v>Energía útil de cocina</x:v>
      </x:c>
      <x:c r="B18" s="20" t="str">
        <x:v>COOK_HH</x:v>
      </x:c>
      <x:c r="C18" s="20" t="str">
        <x:v>kWhth/hogar-año</x:v>
      </x:c>
      <x:c r="D18" s="21" t="n">
        <x:v>1500</x:v>
      </x:c>
      <x:c r="E18" s="21" t="n">
        <x:v>1500</x:v>
      </x:c>
      <x:c r="F18" s="21" t="n">
        <x:v>1500</x:v>
      </x:c>
      <x:c r="G18" s="20" t="str">
        <x:v>Supuesto de cribado</x:v>
      </x:c>
      <x:c r="H18" s="20" t="str">
        <x:v>Sustituible por dato local</x:v>
      </x:c>
    </x:row>
    <x:row r="19">
      <x:c r="A19" s="20" t="str">
        <x:v>Factor gas natural</x:v>
      </x:c>
      <x:c r="B19" s="20" t="str">
        <x:v>EF_GAS</x:v>
      </x:c>
      <x:c r="C19" s="20" t="str">
        <x:v>kg CO2e/kWh combustible</x:v>
      </x:c>
      <x:c r="D19" s="21" t="n">
        <x:v>0.202</x:v>
      </x:c>
      <x:c r="E19" s="21" t="n">
        <x:v>0.202</x:v>
      </x:c>
      <x:c r="F19" s="21" t="n">
        <x:v>0.202</x:v>
      </x:c>
      <x:c r="G19" s="20" t="str">
        <x:v>Factor de gas</x:v>
      </x:c>
      <x:c r="H19" s="20" t="str"/>
    </x:row>
    <x:row r="20">
      <x:c r="A20" s="20" t="str">
        <x:v>Eficiencia caldera gas</x:v>
      </x:c>
      <x:c r="B20" s="20" t="str">
        <x:v>BOILER_EFF</x:v>
      </x:c>
      <x:c r="C20" s="20" t="str">
        <x:v>fracción</x:v>
      </x:c>
      <x:c r="D20" s="21" t="n">
        <x:v>0.9</x:v>
      </x:c>
      <x:c r="E20" s="21" t="n">
        <x:v>0.9</x:v>
      </x:c>
      <x:c r="F20" s="21" t="n">
        <x:v>0.9</x:v>
      </x:c>
      <x:c r="G20" s="20" t="str">
        <x:v>Supuesto ingeniería</x:v>
      </x:c>
      <x:c r="H20" s="20" t="str"/>
    </x:row>
    <x:row r="21">
      <x:c r="A21" s="20" t="str">
        <x:v>Huella útil biogás</x:v>
      </x:c>
      <x:c r="B21" s="20" t="str">
        <x:v>EF_BIOGAS</x:v>
      </x:c>
      <x:c r="C21" s="20" t="str">
        <x:v>kg CO2e/kWhth útil</x:v>
      </x:c>
      <x:c r="D21" s="21" t="n">
        <x:v>0</x:v>
      </x:c>
      <x:c r="E21" s="21" t="n">
        <x:v>0.03</x:v>
      </x:c>
      <x:c r="F21" s="21" t="n">
        <x:v>0.025</x:v>
      </x:c>
      <x:c r="G21" s="20" t="str">
        <x:v>Supuesto de ciclo de vida</x:v>
      </x:c>
      <x:c r="H21" s="20" t="str">
        <x:v>Incluye producción/fugas residuales</x:v>
      </x:c>
    </x:row>
    <x:row r="22">
      <x:c r="A22" s="20" t="str">
        <x:v>Bombeo red térmica</x:v>
      </x:c>
      <x:c r="B22" s="20" t="str">
        <x:v>DH_PUMP</x:v>
      </x:c>
      <x:c r="C22" s="20" t="str">
        <x:v>kWhe/kWhth</x:v>
      </x:c>
      <x:c r="D22" s="21" t="n">
        <x:v>0</x:v>
      </x:c>
      <x:c r="E22" s="21" t="n">
        <x:v>0.015</x:v>
      </x:c>
      <x:c r="F22" s="21" t="n">
        <x:v>0.012</x:v>
      </x:c>
      <x:c r="G22" s="20" t="str">
        <x:v>Supuesto de ingeniería</x:v>
      </x:c>
      <x:c r="H22" s="20" t="str">
        <x:v>Fuera del PUE</x:v>
      </x:c>
    </x:row>
    <x:row r="23">
      <x:c r="A23" s="20" t="str">
        <x:v>Consumo EV</x:v>
      </x:c>
      <x:c r="B23" s="20" t="str">
        <x:v>EV_KWH_KM</x:v>
      </x:c>
      <x:c r="C23" s="20" t="str">
        <x:v>kWh/km</x:v>
      </x:c>
      <x:c r="D23" s="21" t="n">
        <x:v>0</x:v>
      </x:c>
      <x:c r="E23" s="21" t="n">
        <x:v>0.18</x:v>
      </x:c>
      <x:c r="F23" s="21" t="n">
        <x:v>0.18</x:v>
      </x:c>
      <x:c r="G23" s="20" t="str">
        <x:v>CERO Teruel — Schedule 2B</x:v>
      </x:c>
      <x:c r="H23" s="20" t="str"/>
    </x:row>
    <x:row r="24">
      <x:c r="A24" s="20" t="str">
        <x:v>Cuota BEV</x:v>
      </x:c>
      <x:c r="B24" s="20" t="str">
        <x:v>EV_SHARE</x:v>
      </x:c>
      <x:c r="C24" s="20" t="str">
        <x:v>fracción</x:v>
      </x:c>
      <x:c r="D24" s="21" t="n">
        <x:v>0</x:v>
      </x:c>
      <x:c r="E24" s="21" t="n">
        <x:v>0.9</x:v>
      </x:c>
      <x:c r="F24" s="21" t="n">
        <x:v>1</x:v>
      </x:c>
      <x:c r="G24" s="20" t="str">
        <x:v>Diseño de flota</x:v>
      </x:c>
      <x:c r="H24" s="20" t="str"/>
    </x:row>
    <x:row r="25">
      <x:c r="A25" s="20" t="str">
        <x:v>Cuota PHEV/híbrido renovable</x:v>
      </x:c>
      <x:c r="B25" s="20" t="str">
        <x:v>PHEV_SHARE</x:v>
      </x:c>
      <x:c r="C25" s="20" t="str">
        <x:v>fracción</x:v>
      </x:c>
      <x:c r="D25" s="21" t="n">
        <x:v>0</x:v>
      </x:c>
      <x:c r="E25" s="21" t="n">
        <x:v>0.1</x:v>
      </x:c>
      <x:c r="F25" s="21" t="n">
        <x:v>0</x:v>
      </x:c>
      <x:c r="G25" s="20" t="str">
        <x:v>Diseño de flota</x:v>
      </x:c>
      <x:c r="H25" s="20" t="str"/>
    </x:row>
    <x:row r="26">
      <x:c r="A26" s="20" t="str">
        <x:v>Fracción eléctrica PHEV</x:v>
      </x:c>
      <x:c r="B26" s="20" t="str">
        <x:v>PHEV_E_FRAC</x:v>
      </x:c>
      <x:c r="C26" s="20" t="str">
        <x:v>fracción</x:v>
      </x:c>
      <x:c r="D26" s="21" t="n">
        <x:v>0</x:v>
      </x:c>
      <x:c r="E26" s="21" t="n">
        <x:v>0.6</x:v>
      </x:c>
      <x:c r="F26" s="21" t="n">
        <x:v>0</x:v>
      </x:c>
      <x:c r="G26" s="20" t="str">
        <x:v>Supuesto de uso</x:v>
      </x:c>
      <x:c r="H26" s="20" t="str"/>
    </x:row>
    <x:row r="27">
      <x:c r="A27" s="20" t="str">
        <x:v>Gasolina convencional</x:v>
      </x:c>
      <x:c r="B27" s="20" t="str">
        <x:v>L100</x:v>
      </x:c>
      <x:c r="C27" s="20" t="str">
        <x:v>L/100 km</x:v>
      </x:c>
      <x:c r="D27" s="21" t="n">
        <x:v>7.5</x:v>
      </x:c>
      <x:c r="E27" s="21" t="n">
        <x:v>7.5</x:v>
      </x:c>
      <x:c r="F27" s="21" t="n">
        <x:v>7.5</x:v>
      </x:c>
      <x:c r="G27" s="20" t="str">
        <x:v>Supuesto de flota</x:v>
      </x:c>
      <x:c r="H27" s="20" t="str"/>
    </x:row>
    <x:row r="28">
      <x:c r="A28" s="20" t="str">
        <x:v>CO2 gasolina</x:v>
      </x:c>
      <x:c r="B28" s="20" t="str">
        <x:v>GAS_KG_L</x:v>
      </x:c>
      <x:c r="C28" s="20" t="str">
        <x:v>kg CO2/L</x:v>
      </x:c>
      <x:c r="D28" s="21" t="n">
        <x:v>2.347</x:v>
      </x:c>
      <x:c r="E28" s="21" t="n">
        <x:v>2.347</x:v>
      </x:c>
      <x:c r="F28" s="21" t="n">
        <x:v>2.347</x:v>
      </x:c>
      <x:c r="G28" s="20" t="str">
        <x:v>EPA</x:v>
      </x:c>
      <x:c r="H28" s="20" t="str"/>
    </x:row>
    <x:row r="29">
      <x:c r="A29" s="20" t="str">
        <x:v>Multiplicador upstream gasolina</x:v>
      </x:c>
      <x:c r="B29" s="20" t="str">
        <x:v>GAS_UP</x:v>
      </x:c>
      <x:c r="C29" s="20" t="str">
        <x:v>x tubo escape</x:v>
      </x:c>
      <x:c r="D29" s="21" t="n">
        <x:v>1.25</x:v>
      </x:c>
      <x:c r="E29" s="21" t="n">
        <x:v>1.25</x:v>
      </x:c>
      <x:c r="F29" s="21" t="n">
        <x:v>1.25</x:v>
      </x:c>
      <x:c r="G29" s="20" t="str">
        <x:v>Supuesto WTW</x:v>
      </x:c>
      <x:c r="H29" s="20" t="str"/>
    </x:row>
    <x:row r="30">
      <x:c r="A30" s="20" t="str">
        <x:v>Combustible renovable / gasolina</x:v>
      </x:c>
      <x:c r="B30" s="20" t="str">
        <x:v>RF_RATIO</x:v>
      </x:c>
      <x:c r="C30" s="20" t="str">
        <x:v>ratio ciclo de vida</x:v>
      </x:c>
      <x:c r="D30" s="21" t="n">
        <x:v>1</x:v>
      </x:c>
      <x:c r="E30" s="21" t="n">
        <x:v>0.2717391304347826</x:v>
      </x:c>
      <x:c r="F30" s="21" t="n">
        <x:v>0.2717391304347826</x:v>
      </x:c>
      <x:c r="G30" s="20" t="str">
        <x:v>Escenario combustible renovable</x:v>
      </x:c>
      <x:c r="H30" s="20" t="str"/>
    </x:row>
    <x:row r="31">
      <x:c r="A31" s="20" t="str">
        <x:v>Verduras suministradas</x:v>
      </x:c>
      <x:c r="B31" s="20" t="str">
        <x:v>VEG_T</x:v>
      </x:c>
      <x:c r="C31" s="20" t="str">
        <x:v>t/año</x:v>
      </x:c>
      <x:c r="D31" s="21" t="n">
        <x:v>851</x:v>
      </x:c>
      <x:c r="E31" s="21" t="n">
        <x:v>851</x:v>
      </x:c>
      <x:c r="F31" s="21" t="n">
        <x:v>851</x:v>
      </x:c>
      <x:c r="G31" s="20" t="str">
        <x:v>CERO Teruel — Schedule 2F</x:v>
      </x:c>
      <x:c r="H31" s="20" t="str"/>
    </x:row>
    <x:row r="32">
      <x:c r="A32" s="20" t="str">
        <x:v>Marisco/pescado suministrado</x:v>
      </x:c>
      <x:c r="B32" s="20" t="str">
        <x:v>SEA_T</x:v>
      </x:c>
      <x:c r="C32" s="20" t="str">
        <x:v>t/año</x:v>
      </x:c>
      <x:c r="D32" s="21" t="n">
        <x:v>376.5</x:v>
      </x:c>
      <x:c r="E32" s="21" t="n">
        <x:v>376.5</x:v>
      </x:c>
      <x:c r="F32" s="21" t="n">
        <x:v>376.5</x:v>
      </x:c>
      <x:c r="G32" s="20" t="str">
        <x:v>CERO Teruel — Schedule 2G</x:v>
      </x:c>
      <x:c r="H32" s="20" t="str"/>
    </x:row>
    <x:row r="33">
      <x:c r="A33" s="20" t="str">
        <x:v>Pan por hogar</x:v>
      </x:c>
      <x:c r="B33" s="20" t="str">
        <x:v>BREAD_KG_HH</x:v>
      </x:c>
      <x:c r="C33" s="20" t="str">
        <x:v>kg/año</x:v>
      </x:c>
      <x:c r="D33" s="21" t="n">
        <x:v>96</x:v>
      </x:c>
      <x:c r="E33" s="21" t="n">
        <x:v>96</x:v>
      </x:c>
      <x:c r="F33" s="21" t="n">
        <x:v>96</x:v>
      </x:c>
      <x:c r="G33" s="20" t="str">
        <x:v>CERO Teruel — Schedule 2H</x:v>
      </x:c>
      <x:c r="H33" s="20" t="str"/>
    </x:row>
    <x:row r="34">
      <x:c r="A34" s="20" t="str">
        <x:v>Huella verduras</x:v>
      </x:c>
      <x:c r="B34" s="20" t="str">
        <x:v>EF_VEG</x:v>
      </x:c>
      <x:c r="C34" s="20" t="str">
        <x:v>kg CO2e/kg</x:v>
      </x:c>
      <x:c r="D34" s="21" t="n">
        <x:v>0.7</x:v>
      </x:c>
      <x:c r="E34" s="21" t="n">
        <x:v>0.25</x:v>
      </x:c>
      <x:c r="F34" s="21" t="n">
        <x:v>0.22</x:v>
      </x:c>
      <x:c r="G34" s="20" t="str">
        <x:v>Supuesto LCA</x:v>
      </x:c>
      <x:c r="H34" s="20" t="str"/>
    </x:row>
    <x:row r="35">
      <x:c r="A35" s="20" t="str">
        <x:v>Huella acuicultura</x:v>
      </x:c>
      <x:c r="B35" s="20" t="str">
        <x:v>EF_SEA</x:v>
      </x:c>
      <x:c r="C35" s="20" t="str">
        <x:v>kg CO2e/kg</x:v>
      </x:c>
      <x:c r="D35" s="21" t="n">
        <x:v>10</x:v>
      </x:c>
      <x:c r="E35" s="21" t="n">
        <x:v>3</x:v>
      </x:c>
      <x:c r="F35" s="21" t="n">
        <x:v>2.5</x:v>
      </x:c>
      <x:c r="G35" s="20" t="str">
        <x:v>Supuesto LCA</x:v>
      </x:c>
      <x:c r="H35" s="20" t="str"/>
    </x:row>
    <x:row r="36">
      <x:c r="A36" s="20" t="str">
        <x:v>Huella pan</x:v>
      </x:c>
      <x:c r="B36" s="20" t="str">
        <x:v>EF_BREAD</x:v>
      </x:c>
      <x:c r="C36" s="20" t="str">
        <x:v>kg CO2e/kg</x:v>
      </x:c>
      <x:c r="D36" s="21" t="n">
        <x:v>1</x:v>
      </x:c>
      <x:c r="E36" s="21" t="n">
        <x:v>0.5</x:v>
      </x:c>
      <x:c r="F36" s="21" t="n">
        <x:v>0.4</x:v>
      </x:c>
      <x:c r="G36" s="20" t="str">
        <x:v>Supuesto LCA</x:v>
      </x:c>
      <x:c r="H36" s="20" t="str"/>
    </x:row>
    <x:row r="37">
      <x:c r="A37" s="20" t="str">
        <x:v>Consumo vacuno</x:v>
      </x:c>
      <x:c r="B37" s="20" t="str">
        <x:v>BEEF_KG_PC</x:v>
      </x:c>
      <x:c r="C37" s="20" t="str">
        <x:v>kg/persona-año</x:v>
      </x:c>
      <x:c r="D37" s="21" t="n">
        <x:v>3.9</x:v>
      </x:c>
      <x:c r="E37" s="21" t="n">
        <x:v>3.9</x:v>
      </x:c>
      <x:c r="F37" s="21" t="n">
        <x:v>3.9</x:v>
      </x:c>
      <x:c r="G37" s="20" t="str">
        <x:v>Mercasa/MAPA</x:v>
      </x:c>
      <x:c r="H37" s="20" t="str"/>
    </x:row>
    <x:row r="38">
      <x:c r="A38" s="20" t="str">
        <x:v>Consumo queso</x:v>
      </x:c>
      <x:c r="B38" s="20" t="str">
        <x:v>CHEESE_KG_PC</x:v>
      </x:c>
      <x:c r="C38" s="20" t="str">
        <x:v>kg/persona-año</x:v>
      </x:c>
      <x:c r="D38" s="21" t="n">
        <x:v>7.8</x:v>
      </x:c>
      <x:c r="E38" s="21" t="n">
        <x:v>7.8</x:v>
      </x:c>
      <x:c r="F38" s="21" t="n">
        <x:v>7.8</x:v>
      </x:c>
      <x:c r="G38" s="20" t="str">
        <x:v>Mercasa/MAPA</x:v>
      </x:c>
      <x:c r="H38" s="20" t="str"/>
    </x:row>
    <x:row r="39">
      <x:c r="A39" s="20" t="str">
        <x:v>Huella vacuno convencional</x:v>
      </x:c>
      <x:c r="B39" s="20" t="str">
        <x:v>EF_BEEF</x:v>
      </x:c>
      <x:c r="C39" s="20" t="str">
        <x:v>kg CO2e/kg</x:v>
      </x:c>
      <x:c r="D39" s="21" t="n">
        <x:v>60</x:v>
      </x:c>
      <x:c r="E39" s="21" t="n">
        <x:v>60</x:v>
      </x:c>
      <x:c r="F39" s="21" t="n">
        <x:v>60</x:v>
      </x:c>
      <x:c r="G39" s="20" t="str">
        <x:v>Base LCA conservadora</x:v>
      </x:c>
      <x:c r="H39" s="20" t="str"/>
    </x:row>
    <x:row r="40">
      <x:c r="A40" s="20" t="str">
        <x:v>Huella queso convencional</x:v>
      </x:c>
      <x:c r="B40" s="20" t="str">
        <x:v>EF_CHEESE</x:v>
      </x:c>
      <x:c r="C40" s="20" t="str">
        <x:v>kg CO2e/kg</x:v>
      </x:c>
      <x:c r="D40" s="21" t="n">
        <x:v>22</x:v>
      </x:c>
      <x:c r="E40" s="21" t="n">
        <x:v>22</x:v>
      </x:c>
      <x:c r="F40" s="21" t="n">
        <x:v>22</x:v>
      </x:c>
      <x:c r="G40" s="20" t="str">
        <x:v>Base LCA conservadora</x:v>
      </x:c>
      <x:c r="H40" s="20" t="str"/>
    </x:row>
    <x:row r="41">
      <x:c r="A41" s="20" t="str">
        <x:v>Distancia alfalfa convencional</x:v>
      </x:c>
      <x:c r="B41" s="20" t="str">
        <x:v>ALF_DIST_REF</x:v>
      </x:c>
      <x:c r="C41" s="20" t="str">
        <x:v>km</x:v>
      </x:c>
      <x:c r="D41" s="21" t="n">
        <x:v>300</x:v>
      </x:c>
      <x:c r="E41" s="21" t="n">
        <x:v>300</x:v>
      </x:c>
      <x:c r="F41" s="21" t="n">
        <x:v>300</x:v>
      </x:c>
      <x:c r="G41" s="20" t="str">
        <x:v>Escenario logístico</x:v>
      </x:c>
      <x:c r="H41" s="20" t="str"/>
    </x:row>
    <x:row r="42">
      <x:c r="A42" s="20" t="str">
        <x:v>Distancia alfalfa local</x:v>
      </x:c>
      <x:c r="B42" s="20" t="str">
        <x:v>ALF_DIST_LOCAL</x:v>
      </x:c>
      <x:c r="C42" s="20" t="str">
        <x:v>km</x:v>
      </x:c>
      <x:c r="D42" s="21" t="n">
        <x:v>300</x:v>
      </x:c>
      <x:c r="E42" s="21" t="n">
        <x:v>30</x:v>
      </x:c>
      <x:c r="F42" s="21" t="n">
        <x:v>20</x:v>
      </x:c>
      <x:c r="G42" s="20" t="str">
        <x:v>Producción local junto a canales</x:v>
      </x:c>
      <x:c r="H42" s="20" t="str"/>
    </x:row>
    <x:row r="43">
      <x:c r="A43" s="20" t="str">
        <x:v>Camión alfalfa</x:v>
      </x:c>
      <x:c r="B43" s="20" t="str">
        <x:v>EF_TRUCK</x:v>
      </x:c>
      <x:c r="C43" s="20" t="str">
        <x:v>kg CO2e/t-km</x:v>
      </x:c>
      <x:c r="D43" s="21" t="n">
        <x:v>0.09</x:v>
      </x:c>
      <x:c r="E43" s="21" t="n">
        <x:v>0.09</x:v>
      </x:c>
      <x:c r="F43" s="21" t="n">
        <x:v>0.09</x:v>
      </x:c>
      <x:c r="G43" s="20" t="str">
        <x:v>Supuesto logístico</x:v>
      </x:c>
      <x:c r="H43" s="20" t="str"/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70" hidden="0" customWidth="1"/>
  </x:cols>
  <x:sheetData>
    <x:row r="1" ht="29" customHeight="1">
      <x:c r="A1" s="4" t="str">
        <x:v>Vacuno, queso, metano, biogás, alfalfa y digestato</x:v>
      </x:c>
      <x:c r="B1" s="4"/>
      <x:c r="C1" s="4"/>
      <x:c r="D1" s="4"/>
      <x:c r="E1" s="4"/>
      <x:c r="F1" s="4"/>
      <x:c r="G1" s="4"/>
      <x:c r="H1" s="4"/>
    </x:row>
    <x:row r="3">
      <x:c r="A3" s="11" t="str">
        <x:v>Componente</x:v>
      </x:c>
      <x:c r="B3" s="11" t="str">
        <x:v>Peso vacuno</x:v>
      </x:c>
      <x:c r="C3" s="11" t="str">
        <x:v>Reducción diseño</x:v>
      </x:c>
      <x:c r="D3" s="11" t="str">
        <x:v>Reducción máxima</x:v>
      </x:c>
      <x:c r="E3" s="11" t="str">
        <x:v>Peso queso</x:v>
      </x:c>
      <x:c r="F3" s="11" t="str">
        <x:v>Reducción diseño</x:v>
      </x:c>
      <x:c r="G3" s="11" t="str">
        <x:v>Reducción máxima</x:v>
      </x:c>
      <x:c r="H3" s="11" t="str">
        <x:v>Mecanismo</x:v>
      </x:c>
    </x:row>
    <x:row r="4">
      <x:c r="A4" s="20" t="str">
        <x:v>Metano entérico</x:v>
      </x:c>
      <x:c r="B4" s="32" t="n">
        <x:v>0.5</x:v>
      </x:c>
      <x:c r="C4" s="32" t="n">
        <x:v>0</x:v>
      </x:c>
      <x:c r="D4" s="32" t="n">
        <x:v>0.98</x:v>
      </x:c>
      <x:c r="E4" s="32" t="n">
        <x:v>0.4</x:v>
      </x:c>
      <x:c r="F4" s="32" t="n">
        <x:v>0.3</x:v>
      </x:c>
      <x:c r="G4" s="32" t="n">
        <x:v>0.98</x:v>
      </x:c>
      <x:c r="H4" s="20" t="str">
        <x:v>El GWP del CH4 ya está incorporado en la huella de referencia. Máximo futuro: reducción entérica ~98%.</x:v>
      </x:c>
    </x:row>
    <x:row r="5">
      <x:c r="A5" s="20" t="str">
        <x:v>Metano del estiércol</x:v>
      </x:c>
      <x:c r="B5" s="32" t="n">
        <x:v>0.15</x:v>
      </x:c>
      <x:c r="C5" s="32" t="n">
        <x:v>0.85</x:v>
      </x:c>
      <x:c r="D5" s="32" t="n">
        <x:v>0.9</x:v>
      </x:c>
      <x:c r="E5" s="32" t="n">
        <x:v>0.15</x:v>
      </x:c>
      <x:c r="F5" s="32" t="n">
        <x:v>0.85</x:v>
      </x:c>
      <x:c r="G5" s="32" t="n">
        <x:v>0.9</x:v>
      </x:c>
      <x:c r="H5" s="20" t="str">
        <x:v>Digestión anaerobia captura CH4 y lo convierte en energía/CO2 biogénico.</x:v>
      </x:c>
    </x:row>
    <x:row r="6">
      <x:c r="A6" s="20" t="str">
        <x:v>Energía, maquinaria y procesado</x:v>
      </x:c>
      <x:c r="B6" s="32" t="n">
        <x:v>0.1</x:v>
      </x:c>
      <x:c r="C6" s="32" t="n">
        <x:v>0.85</x:v>
      </x:c>
      <x:c r="D6" s="32" t="n">
        <x:v>0.95</x:v>
      </x:c>
      <x:c r="E6" s="32" t="n">
        <x:v>0.15</x:v>
      </x:c>
      <x:c r="F6" s="32" t="n">
        <x:v>0.85</x:v>
      </x:c>
      <x:c r="G6" s="32" t="n">
        <x:v>0.95</x:v>
      </x:c>
      <x:c r="H6" s="20" t="str">
        <x:v>Renovables, calor recuperado y combustibles renovables.</x:v>
      </x:c>
    </x:row>
    <x:row r="7">
      <x:c r="A7" s="20" t="str">
        <x:v>Pienso, fertilizante y transporte</x:v>
      </x:c>
      <x:c r="B7" s="32" t="n">
        <x:v>0.2</x:v>
      </x:c>
      <x:c r="C7" s="32" t="n">
        <x:v>0.65</x:v>
      </x:c>
      <x:c r="D7" s="32" t="n">
        <x:v>0.8</x:v>
      </x:c>
      <x:c r="E7" s="32" t="n">
        <x:v>0.25</x:v>
      </x:c>
      <x:c r="F7" s="32" t="n">
        <x:v>0.65</x:v>
      </x:c>
      <x:c r="G7" s="32" t="n">
        <x:v>0.8</x:v>
      </x:c>
      <x:c r="H7" s="20" t="str">
        <x:v>Alfalfa local, digestato y reducción de transporte/fertilizante mineral.</x:v>
      </x:c>
    </x:row>
    <x:row r="8">
      <x:c r="A8" s="20" t="str">
        <x:v>Otros / residuo</x:v>
      </x:c>
      <x:c r="B8" s="32" t="n">
        <x:v>0.05</x:v>
      </x:c>
      <x:c r="C8" s="32" t="n">
        <x:v>0</x:v>
      </x:c>
      <x:c r="D8" s="32" t="n">
        <x:v>0.7</x:v>
      </x:c>
      <x:c r="E8" s="32" t="n">
        <x:v>0.05</x:v>
      </x:c>
      <x:c r="F8" s="32" t="n">
        <x:v>0</x:v>
      </x:c>
      <x:c r="G8" s="32" t="n">
        <x:v>0.2</x:v>
      </x:c>
      <x:c r="H8" s="20" t="str">
        <x:v>Emisiones residuales de suelo, pérdidas e infraestructura.</x:v>
      </x:c>
    </x:row>
    <x:row r="9">
      <x:c r="A9" s="20"/>
      <x:c r="B9" s="32"/>
      <x:c r="C9" s="32"/>
      <x:c r="D9" s="32"/>
      <x:c r="E9" s="32"/>
      <x:c r="F9" s="32"/>
      <x:c r="G9" s="32"/>
      <x:c r="H9" s="20"/>
    </x:row>
    <x:row r="10">
      <x:c r="A10" s="11" t="str">
        <x:v>Resultado vacuno</x:v>
      </x:c>
      <x:c r="B10" s="25" t="str">
        <x:v>Diseño</x:v>
      </x:c>
      <x:c r="C10" s="25" t="str">
        <x:v>Máximo futuro</x:v>
      </x:c>
      <x:c r="D10" s="25" t="str">
        <x:v>Huella final máxima kgCO2e/kg</x:v>
      </x:c>
      <x:c r="E10" s="32"/>
      <x:c r="F10" s="32"/>
      <x:c r="G10" s="32"/>
      <x:c r="H10" s="20"/>
    </x:row>
    <x:row r="11">
      <x:c r="A11" s="20" t="str">
        <x:v>Reducción total</x:v>
      </x:c>
      <x:c r="B11" s="32" t="n">
        <x:f>SUMPRODUCT(B4:B8,C4:C8)</x:f>
        <x:v>0.3425</x:v>
      </x:c>
      <x:c r="C11" s="32" t="n">
        <x:f>SUMPRODUCT(B4:B8,D4:D8)</x:f>
        <x:v>0.915</x:v>
      </x:c>
      <x:c r="D11" s="33" t="n">
        <x:f>Entradas!$D$39*(1-C11)</x:f>
        <x:v>5.099999999999998</x:v>
      </x:c>
      <x:c r="E11" s="32"/>
      <x:c r="F11" s="32"/>
      <x:c r="G11" s="32"/>
      <x:c r="H11" s="20"/>
    </x:row>
    <x:row r="12">
      <x:c r="A12" s="20"/>
      <x:c r="B12" s="32"/>
      <x:c r="C12" s="32"/>
      <x:c r="D12" s="33"/>
      <x:c r="E12" s="32"/>
      <x:c r="F12" s="32"/>
      <x:c r="G12" s="32"/>
      <x:c r="H12" s="20"/>
    </x:row>
    <x:row r="13">
      <x:c r="A13" s="11" t="str">
        <x:v>Resultado queso</x:v>
      </x:c>
      <x:c r="B13" s="25" t="str">
        <x:v>Diseño</x:v>
      </x:c>
      <x:c r="C13" s="25" t="str">
        <x:v>Máximo futuro</x:v>
      </x:c>
      <x:c r="D13" s="29" t="str">
        <x:v>Huella final máxima kgCO2e/kg</x:v>
      </x:c>
      <x:c r="E13" s="32"/>
      <x:c r="F13" s="32"/>
      <x:c r="G13" s="32"/>
      <x:c r="H13" s="20"/>
    </x:row>
    <x:row r="14">
      <x:c r="A14" s="20" t="str">
        <x:v>Reducción total</x:v>
      </x:c>
      <x:c r="B14" s="32" t="n">
        <x:f>SUMPRODUCT(E4:E8,F4:F8)</x:f>
        <x:v>0.5375</x:v>
      </x:c>
      <x:c r="C14" s="32" t="n">
        <x:f>SUMPRODUCT(E4:E8,G4:G8)</x:f>
        <x:v>0.8795</x:v>
      </x:c>
      <x:c r="D14" s="33" t="n">
        <x:f>Entradas!$D$40*(1-C14)</x:f>
        <x:v>2.651000000000001</x:v>
      </x:c>
      <x:c r="E14" s="32"/>
      <x:c r="F14" s="32"/>
      <x:c r="G14" s="32"/>
      <x:c r="H14" s="20"/>
    </x:row>
    <x:row r="15">
      <x:c r="A15" s="20"/>
      <x:c r="B15" s="20"/>
      <x:c r="C15" s="20"/>
      <x:c r="D15" s="20"/>
      <x:c r="E15" s="20"/>
      <x:c r="F15" s="20"/>
      <x:c r="G15" s="20"/>
      <x:c r="H15" s="20"/>
    </x:row>
    <x:row r="16">
      <x:c r="A16" s="11" t="str">
        <x:v>Alfalfa local — transporte evitado</x:v>
      </x:c>
      <x:c r="B16" s="11" t="str">
        <x:v>Convencional</x:v>
      </x:c>
      <x:c r="C16" s="11" t="str">
        <x:v>Proyecto</x:v>
      </x:c>
      <x:c r="D16" s="11" t="str">
        <x:v>Ahorro</x:v>
      </x:c>
      <x:c r="E16" s="20"/>
      <x:c r="F16" s="20"/>
      <x:c r="G16" s="20"/>
      <x:c r="H16" s="20"/>
    </x:row>
    <x:row r="17">
      <x:c r="A17" s="20" t="str">
        <x:v>Distancia por tonelada (km)</x:v>
      </x:c>
      <x:c r="B17" s="20" t="n">
        <x:f>Entradas!$D$41</x:f>
        <x:v>300</x:v>
      </x:c>
      <x:c r="C17" s="20" t="n">
        <x:f>Entradas!$E$42</x:f>
        <x:v>30</x:v>
      </x:c>
      <x:c r="D17" s="20" t="n">
        <x:f>B17-C17</x:f>
        <x:v>270</x:v>
      </x:c>
      <x:c r="E17" s="20"/>
      <x:c r="F17" s="20"/>
      <x:c r="G17" s="20"/>
      <x:c r="H17" s="20"/>
    </x:row>
    <x:row r="18">
      <x:c r="A18" s="20" t="str">
        <x:v>kg CO2e transporte por tonelada</x:v>
      </x:c>
      <x:c r="B18" s="20" t="n">
        <x:f>B17*Entradas!$D$43</x:f>
        <x:v>27</x:v>
      </x:c>
      <x:c r="C18" s="20" t="n">
        <x:f>C17*Entradas!$D$43</x:f>
        <x:v>2.6999999999999997</x:v>
      </x:c>
      <x:c r="D18" s="20" t="n">
        <x:f>B18-C18</x:f>
        <x:v>24.3</x:v>
      </x:c>
      <x:c r="E18" s="20"/>
      <x:c r="F18" s="20"/>
      <x:c r="G18" s="20"/>
      <x:c r="H18" s="20"/>
    </x:row>
    <x:row r="19">
      <x:c r="A19" s="20"/>
      <x:c r="B19" s="20"/>
      <x:c r="C19" s="20"/>
      <x:c r="D19" s="20"/>
      <x:c r="E19" s="20"/>
      <x:c r="F19" s="20"/>
      <x:c r="G19" s="20"/>
      <x:c r="H19" s="20"/>
    </x:row>
    <x:row r="20">
      <x:c r="A20" s="20" t="str">
        <x:v>Lectura física</x:v>
      </x:c>
      <x:c r="B20" s="20"/>
      <x:c r="C20" s="20"/>
      <x:c r="D20" s="20"/>
      <x:c r="E20" s="20"/>
      <x:c r="F20" s="20"/>
      <x:c r="G20" s="20"/>
      <x:c r="H20" s="20" t="str">
        <x:v>Los efectos de alfalfa, digestato, estiércol y energía se integran en los factores del ACV de vacuno/queso para evitar doble conteo.</x:v>
      </x:c>
    </x:row>
    <x:row r="21">
      <x:c r="A21" s="20" t="str">
        <x:v>Metano</x:v>
      </x:c>
      <x:c r="B21" s="20"/>
      <x:c r="C21" s="20"/>
      <x:c r="D21" s="20"/>
      <x:c r="E21" s="20"/>
      <x:c r="F21" s="20"/>
      <x:c r="G21" s="20"/>
      <x:c r="H21" s="20" t="str">
        <x:v>Su elevada potencia climática hace que la reducción entérica y la captura del CH4 del estiércol tengan gran peso.</x:v>
      </x:c>
    </x:row>
    <x:row r="22">
      <x:c r="A22" s="20" t="str">
        <x:v>Digestato</x:v>
      </x:c>
      <x:c r="B22" s="20"/>
      <x:c r="C22" s="20"/>
      <x:c r="D22" s="20"/>
      <x:c r="E22" s="20"/>
      <x:c r="F22" s="20"/>
      <x:c r="G22" s="20"/>
      <x:c r="H22" s="20" t="str">
        <x:v>Sustituye parte del fertilizante mineral y reduce producción/minería/transporte de nutrientes.</x:v>
      </x:c>
    </x:row>
    <x:row r="23">
      <x:c r="A23" s="20" t="str">
        <x:v>Máximo futuro</x:v>
      </x:c>
      <x:c r="B23" s="20"/>
      <x:c r="C23" s="20"/>
      <x:c r="D23" s="20"/>
      <x:c r="E23" s="20"/>
      <x:c r="F23" s="20"/>
      <x:c r="G23" s="20"/>
      <x:c r="H23" s="20" t="str">
        <x:v>El cálculo da ~91,5% para vacuno (hasta 92%) y ~88,0% para queso.</x:v>
      </x:c>
    </x:row>
  </x:sheetData>
  <x:mergeCells>
    <x:mergeCell ref="A1:H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18.3799991607666" hidden="0" customWidth="1"/>
    <x:col min="3" max="3" width="14.880000114440918" hidden="0" customWidth="1"/>
    <x:col min="4" max="4" width="14.380000114440918" hidden="0" customWidth="1"/>
    <x:col min="5" max="5" width="5.25" hidden="0" customWidth="1"/>
    <x:col min="6" max="6" width="10.75" hidden="0" customWidth="1"/>
    <x:col min="7" max="7" width="46" hidden="0" customWidth="1"/>
  </x:cols>
  <x:sheetData>
    <x:row r="1" ht="29" customHeight="1">
      <x:c r="A1" s="99" t="str">
        <x:v>Balance eléctrico físico — seis sitios, comunidad + centros de datos + PPA residual</x:v>
      </x:c>
      <x:c r="B1" s="76"/>
      <x:c r="C1" s="76"/>
      <x:c r="D1" s="76"/>
      <x:c r="E1" s="76"/>
      <x:c r="F1" s="76"/>
      <x:c r="G1" s="76"/>
    </x:row>
    <x:row r="2">
      <x:c r="A2" s="20"/>
      <x:c r="B2" s="20"/>
      <x:c r="C2" s="20"/>
      <x:c r="D2" s="20"/>
      <x:c r="E2" s="20"/>
      <x:c r="F2" s="20"/>
      <x:c r="G2" s="20"/>
    </x:row>
    <x:row r="3">
      <x:c r="A3" s="73" t="str">
        <x:v>Flujo</x:v>
      </x:c>
      <x:c r="B3" s="73" t="str">
        <x:v>Convencional kWh/año</x:v>
      </x:c>
      <x:c r="C3" s="73" t="str">
        <x:v>Proyecto kWh/año</x:v>
      </x:c>
      <x:c r="D3" s="73" t="str">
        <x:v>Máximo kWh/año</x:v>
      </x:c>
      <x:c r="E3" s="73" t="str">
        <x:v>Factor</x:v>
      </x:c>
      <x:c r="F3" s="73" t="str">
        <x:v>tCO2e diseño</x:v>
      </x:c>
      <x:c r="G3" s="73" t="str">
        <x:v>Comentario</x:v>
      </x:c>
    </x:row>
    <x:row r="4">
      <x:c r="A4" s="20" t="str">
        <x:v>Electricidad vendida/suministrada a hogares</x:v>
      </x:c>
      <x:c r="B4" s="91" t="n">
        <x:f>Entradas!$D$5*Entradas!$D$16</x:f>
        <x:v>9454067.6</x:v>
      </x:c>
      <x:c r="C4" s="91" t="n">
        <x:f>Entradas!$E$5*Entradas!$E$16</x:f>
        <x:v>9454067.6</x:v>
      </x:c>
      <x:c r="D4" s="91" t="n">
        <x:f>Entradas!$F$5*Entradas!$F$16</x:f>
        <x:v>9454067.6</x:v>
      </x:c>
      <x:c r="E4" s="45" t="n">
        <x:f>Entradas!$E$14</x:f>
        <x:v>0.02</x:v>
      </x:c>
      <x:c r="F4" s="91" t="n">
        <x:f>C4*E4/1000</x:f>
        <x:v>189.08135199999998</x:v>
      </x:c>
      <x:c r="G4" s="20" t="str">
        <x:v>La comunidad recibe prioridad de la generación propia.</x:v>
      </x:c>
    </x:row>
    <x:row r="5">
      <x:c r="A5" s="20" t="str">
        <x:v>Carga de vehículos</x:v>
      </x:c>
      <x:c r="B5" s="91" t="n">
        <x:f>0</x:f>
        <x:v>0</x:v>
      </x:c>
      <x:c r="C5" s="91" t="n">
        <x:f>Entradas!$E$7*Entradas!$E$8*Entradas!$E$23*(Entradas!$E$24+Entradas!$E$25*Entradas!$E$26)</x:f>
        <x:v>8371123.199999999</x:v>
      </x:c>
      <x:c r="D5" s="91" t="n">
        <x:f>Entradas!$F$7*Entradas!$F$8*Entradas!$F$23*Entradas!$F$24</x:f>
        <x:v>8719920</x:v>
      </x:c>
      <x:c r="E5" s="45" t="n">
        <x:f>Entradas!$E$14</x:f>
        <x:v>0.02</x:v>
      </x:c>
      <x:c r="F5" s="91" t="n">
        <x:f>C5*E5/1000</x:f>
        <x:v>167.422464</x:v>
      </x:c>
      <x:c r="G5" s="20" t="str">
        <x:v>BEV + fracción eléctrica PHEV.</x:v>
      </x:c>
    </x:row>
    <x:row r="6">
      <x:c r="A6" s="20" t="str">
        <x:v>Bombeo red de calor</x:v>
      </x:c>
      <x:c r="B6" s="91" t="n">
        <x:f>0</x:f>
        <x:v>0</x:v>
      </x:c>
      <x:c r="C6" s="91" t="n">
        <x:f>Entradas!$E$6*Entradas!$E$17*Entradas!$E$22</x:f>
        <x:v>770825.25</x:v>
      </x:c>
      <x:c r="D6" s="91" t="n">
        <x:f>Entradas!$F$6*Entradas!$F$17*Entradas!$F$22</x:f>
        <x:v>616660.2000000001</x:v>
      </x:c>
      <x:c r="E6" s="45" t="n">
        <x:f>Entradas!$E$14</x:f>
        <x:v>0.02</x:v>
      </x:c>
      <x:c r="F6" s="91" t="n">
        <x:f>C6*E6/1000</x:f>
        <x:v>15.416505</x:v>
      </x:c>
      <x:c r="G6" s="20" t="str">
        <x:v>Carga separada del PUE.</x:v>
      </x:c>
    </x:row>
    <x:row r="7">
      <x:c r="A7" s="77" t="str">
        <x:v>Demanda eléctrica comunitaria total</x:v>
      </x:c>
      <x:c r="B7" s="92" t="n">
        <x:f>SUM(B4:B6)</x:f>
        <x:v>9454067.6</x:v>
      </x:c>
      <x:c r="C7" s="92" t="n">
        <x:f>SUM(C4:C6)</x:f>
        <x:v>18596016.049999997</x:v>
      </x:c>
      <x:c r="D7" s="92" t="n">
        <x:f>SUM(D4:D6)</x:f>
        <x:v>18790647.8</x:v>
      </x:c>
      <x:c r="E7" s="89"/>
      <x:c r="F7" s="92"/>
      <x:c r="G7" s="77"/>
    </x:row>
    <x:row r="8">
      <x:c r="A8" s="20" t="str">
        <x:v>Centros de datos — energía de instalación</x:v>
      </x:c>
      <x:c r="B8" s="91" t="n">
        <x:f>Entradas!$D$9*8760*1000*Entradas!$D$10</x:f>
        <x:v>453969480</x:v>
      </x:c>
      <x:c r="C8" s="91" t="n">
        <x:f>Entradas!$E$9*8760*1000*Entradas!$E$11</x:f>
        <x:v>382899775.20000005</x:v>
      </x:c>
      <x:c r="D8" s="91" t="n">
        <x:f>Entradas!$F$9*8760*1000*Entradas!$F$11</x:f>
        <x:v>382899775.20000005</x:v>
      </x:c>
      <x:c r="E8" s="45"/>
      <x:c r="F8" s="91"/>
      <x:c r="G8" s="20" t="str">
        <x:v>35,74 MW IT × 8.760 × PUE.</x:v>
      </x:c>
    </x:row>
    <x:row r="9">
      <x:c r="A9" s="20" t="str">
        <x:v>Demanda eléctrica total modelada</x:v>
      </x:c>
      <x:c r="B9" s="91" t="n">
        <x:f>B7+B8</x:f>
        <x:v>463423547.6</x:v>
      </x:c>
      <x:c r="C9" s="91" t="n">
        <x:f>C7+C8</x:f>
        <x:v>401495791.25000006</x:v>
      </x:c>
      <x:c r="D9" s="91" t="n">
        <x:f>D7+D8</x:f>
        <x:v>401690423.00000006</x:v>
      </x:c>
      <x:c r="E9" s="20"/>
      <x:c r="F9" s="91"/>
      <x:c r="G9" s="20" t="str">
        <x:v>Comunidad + centros de datos.</x:v>
      </x:c>
    </x:row>
    <x:row r="10">
      <x:c r="A10" s="11" t="str">
        <x:v>Generación propia eólica + solar</x:v>
      </x:c>
      <x:c r="B10" s="93" t="n">
        <x:f>0</x:f>
        <x:v>0</x:v>
      </x:c>
      <x:c r="C10" s="93" t="n">
        <x:f>Entradas!$E$13</x:f>
        <x:v>298199999.99999994</x:v>
      </x:c>
      <x:c r="D10" s="93" t="n">
        <x:f>Entradas!$F$13</x:f>
        <x:v>298199999.99999994</x:v>
      </x:c>
      <x:c r="E10" s="11" t="n">
        <x:f>Entradas!$E$14</x:f>
        <x:v>0.02</x:v>
      </x:c>
      <x:c r="F10" s="93"/>
      <x:c r="G10" s="11" t="str">
        <x:v>6 sitios × 15 MW eólico + 5 MWp solar; ≈298,2 GWh/año.</x:v>
      </x:c>
    </x:row>
    <x:row r="11">
      <x:c r="A11" s="20" t="str">
        <x:v>Generación propia asignada a comunidad</x:v>
      </x:c>
      <x:c r="B11" s="91" t="n">
        <x:f>0</x:f>
        <x:v>0</x:v>
      </x:c>
      <x:c r="C11" s="91" t="n">
        <x:f>MIN(C10,C7)</x:f>
        <x:v>18596016.049999997</x:v>
      </x:c>
      <x:c r="D11" s="91" t="n">
        <x:f>MIN(D10,D7)</x:f>
        <x:v>18790647.8</x:v>
      </x:c>
      <x:c r="E11" s="20"/>
      <x:c r="F11" s="91"/>
      <x:c r="G11" s="20" t="str">
        <x:v>La demanda comunitaria queda totalmente cubierta por generación propia en el caso central.</x:v>
      </x:c>
    </x:row>
    <x:row r="12">
      <x:c r="A12" s="20" t="str">
        <x:v>Generación propia asignada a centros de datos</x:v>
      </x:c>
      <x:c r="B12" s="91" t="n">
        <x:f>0</x:f>
        <x:v>0</x:v>
      </x:c>
      <x:c r="C12" s="91" t="n">
        <x:f>MIN(MAX(C10-C11,0),C8)</x:f>
        <x:v>279603983.9499999</x:v>
      </x:c>
      <x:c r="D12" s="91" t="n">
        <x:f>MIN(MAX(D10-D11,0),D8)</x:f>
        <x:v>279409352.1999999</x:v>
      </x:c>
      <x:c r="E12" s="20"/>
      <x:c r="F12" s="91"/>
      <x:c r="G12" s="20" t="str">
        <x:v>El resto de la generación propia reduce la importación de los centros de datos.</x:v>
      </x:c>
    </x:row>
    <x:row r="13">
      <x:c r="A13" s="20" t="str">
        <x:v>PPA renovable residual</x:v>
      </x:c>
      <x:c r="B13" s="91" t="n">
        <x:f>0</x:f>
        <x:v>0</x:v>
      </x:c>
      <x:c r="C13" s="91" t="n">
        <x:f>MAX(0,C9-C10)</x:f>
        <x:v>103295791.25000012</x:v>
      </x:c>
      <x:c r="D13" s="91" t="n">
        <x:f>MAX(0,D9-D10)</x:f>
        <x:v>103490423.00000012</x:v>
      </x:c>
      <x:c r="E13" s="20" t="n">
        <x:f>Entradas!$E$15</x:f>
        <x:v>0.02</x:v>
      </x:c>
      <x:c r="F13" s="91"/>
      <x:c r="G13" s="20" t="str">
        <x:v>PPA horario renovable para la demanda que supera la generación propia.</x:v>
      </x:c>
    </x:row>
    <x:row r="14">
      <x:c r="A14" s="20" t="str">
        <x:v>Excedente renovable exportado</x:v>
      </x:c>
      <x:c r="B14" s="91" t="n">
        <x:f>0</x:f>
        <x:v>0</x:v>
      </x:c>
      <x:c r="C14" s="91" t="n">
        <x:f>MAX(0,C10-C9)</x:f>
        <x:v>0</x:v>
      </x:c>
      <x:c r="D14" s="91" t="n">
        <x:f>MAX(0,D10-D9)</x:f>
        <x:v>0</x:v>
      </x:c>
      <x:c r="E14" s="20"/>
      <x:c r="F14" s="91"/>
      <x:c r="G14" s="20" t="str">
        <x:v>Solo existe exportación si la generación propia supera comunidad + centros de datos. En el caso central es 0.</x:v>
      </x:c>
    </x:row>
    <x:row r="15">
      <x:c r="A15" s="20"/>
      <x:c r="B15" s="91"/>
      <x:c r="C15" s="91"/>
      <x:c r="D15" s="91"/>
      <x:c r="E15" s="20"/>
      <x:c r="F15" s="91"/>
      <x:c r="G15" s="20"/>
    </x:row>
    <x:row r="16">
      <x:c r="A16" s="20" t="str">
        <x:v>Emisiones electricidad comunitaria</x:v>
      </x:c>
      <x:c r="B16" s="91" t="n">
        <x:f>B7*Entradas!$D$12/1000</x:f>
        <x:v>2439.1494408</x:v>
      </x:c>
      <x:c r="C16" s="91" t="n">
        <x:f>(C11*Entradas!$E$14+MAX(0,C7-C11)*Entradas!$E$15)/1000</x:f>
        <x:v>371.92032099999994</x:v>
      </x:c>
      <x:c r="D16" s="91" t="n">
        <x:f>(D11*Entradas!$F$14+MAX(0,D7-D11)*Entradas!$F$15)/1000</x:f>
        <x:v>375.812956</x:v>
      </x:c>
      <x:c r="E16" s="20"/>
      <x:c r="F16" s="91" t="n">
        <x:f>(C11*Entradas!$E$14+MAX(0,C7-C11)*Entradas!$E$15)/1000</x:f>
        <x:v>371.92032099999994</x:v>
      </x:c>
      <x:c r="G16" s="20" t="str">
        <x:v>Emisiones directas de electricidad comunitaria.</x:v>
      </x:c>
    </x:row>
    <x:row r="17">
      <x:c r="A17" s="20" t="str">
        <x:v>Emisiones centros de datos</x:v>
      </x:c>
      <x:c r="B17" s="91" t="n">
        <x:f>B8*Entradas!$D$12/1000</x:f>
        <x:v>117124.12584000001</x:v>
      </x:c>
      <x:c r="C17" s="91" t="n">
        <x:f>(C12*Entradas!$E$14+MAX(0,C8-C12)*Entradas!$E$15)/1000</x:f>
        <x:v>7657.995504</x:v>
      </x:c>
      <x:c r="D17" s="91" t="n">
        <x:f>(D12*Entradas!$F$14+MAX(0,D8-D12)*Entradas!$F$15)/1000</x:f>
        <x:v>7657.995504000001</x:v>
      </x:c>
      <x:c r="E17" s="20"/>
      <x:c r="F17" s="91" t="n">
        <x:f>(C12*Entradas!$E$14+MAX(0,C8-C12)*Entradas!$E$15)/1000</x:f>
        <x:v>7657.995504</x:v>
      </x:c>
      <x:c r="G17" s="20" t="str">
        <x:v>Generación propia + PPA residual; sin crédito por exportación.</x:v>
      </x:c>
    </x:row>
    <x:row r="18">
      <x:c r="A18" s="77" t="str">
        <x:v>Emisiones eléctricas integradas</x:v>
      </x:c>
      <x:c r="B18" s="92" t="n">
        <x:f>B16+B17</x:f>
        <x:v>119563.27528080001</x:v>
      </x:c>
      <x:c r="C18" s="92" t="n">
        <x:f>C16+C17</x:f>
        <x:v>8029.915825</x:v>
      </x:c>
      <x:c r="D18" s="92" t="n">
        <x:f>D16+D17</x:f>
        <x:v>8033.808460000001</x:v>
      </x:c>
      <x:c r="E18" s="77"/>
      <x:c r="F18" s="92" t="n">
        <x:f>F16+F17</x:f>
        <x:v>8029.915825</x:v>
      </x:c>
      <x:c r="G18" s="77" t="str">
        <x:v>Base de la comparación integrada directa.</x:v>
      </x:c>
    </x:row>
    <x:row r="19">
      <x:c r="A19" s="20"/>
      <x:c r="B19" s="20"/>
      <x:c r="C19" s="20"/>
      <x:c r="D19" s="20"/>
      <x:c r="E19" s="20"/>
      <x:c r="F19" s="20"/>
      <x:c r="G19" s="20"/>
    </x:row>
    <x:row r="20">
      <x:c r="A20" s="20"/>
      <x:c r="B20" s="20"/>
      <x:c r="C20" s="20"/>
      <x:c r="D20" s="20"/>
      <x:c r="E20" s="20"/>
      <x:c r="F20" s="20"/>
      <x:c r="G20" s="20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52" hidden="0" customWidth="1"/>
    <x:col min="3" max="3" width="18" hidden="0" customWidth="1"/>
    <x:col min="4" max="4" width="18" hidden="0" customWidth="1"/>
    <x:col min="5" max="5" width="18" hidden="0" customWidth="1"/>
    <x:col min="6" max="6" width="15" hidden="0" customWidth="1"/>
    <x:col min="7" max="7" width="15" hidden="0" customWidth="1"/>
    <x:col min="8" max="8" width="55" hidden="0" customWidth="1"/>
  </x:cols>
  <x:sheetData>
    <x:row r="1" ht="29" customHeight="1">
      <x:c r="A1" s="98" t="str">
        <x:v>Huella anual operativa — comunidad convencional vs microcosmos del proyecto</x:v>
      </x:c>
      <x:c r="B1" s="4"/>
      <x:c r="C1" s="4"/>
      <x:c r="D1" s="4"/>
      <x:c r="E1" s="4"/>
      <x:c r="F1" s="4"/>
      <x:c r="G1" s="4"/>
      <x:c r="H1" s="4"/>
    </x:row>
    <x:row r="3">
      <x:c r="A3" s="11" t="str">
        <x:v>Categoría</x:v>
      </x:c>
      <x:c r="B3" s="11" t="str">
        <x:v>Fórmula / límite físico</x:v>
      </x:c>
      <x:c r="C3" s="11" t="str">
        <x:v>Convencional tCO2e/año</x:v>
      </x:c>
      <x:c r="D3" s="11" t="str">
        <x:v>Proyecto tCO2e/año</x:v>
      </x:c>
      <x:c r="E3" s="11" t="str">
        <x:v>Máximo futuro tCO2e/año</x:v>
      </x:c>
      <x:c r="F3" s="11" t="str">
        <x:v>Reducción diseño</x:v>
      </x:c>
      <x:c r="G3" s="11" t="str">
        <x:v>Reducción máxima</x:v>
      </x:c>
      <x:c r="H3" s="11" t="str">
        <x:v>Nota</x:v>
      </x:c>
    </x:row>
    <x:row r="4">
      <x:c r="A4" s="20" t="str">
        <x:v>Electricidad doméstica</x:v>
      </x:c>
      <x:c r="B4" s="20" t="str">
        <x:v>hogares × kWh × factor</x:v>
      </x:c>
      <x:c r="C4" s="46" t="n">
        <x:f>Entradas!$D$5*Entradas!$D$16*Entradas!$D$12/1000</x:f>
        <x:v>2439.1494408</x:v>
      </x:c>
      <x:c r="D4" s="46" t="n">
        <x:f>Electricidad!F4</x:f>
        <x:v>189.08135199999998</x:v>
      </x:c>
      <x:c r="E4" s="46" t="n">
        <x:f>Electricidad!D4*Entradas!$F$14/1000</x:f>
        <x:v>189.08135199999998</x:v>
      </x:c>
      <x:c r="F4" s="32" t="n">
        <x:f>1-D4/C4</x:f>
        <x:v>0.9224806201550387</x:v>
      </x:c>
      <x:c r="G4" s="32" t="n">
        <x:f>1-E4/C4</x:f>
        <x:v>0.9224806201550387</x:v>
      </x:c>
      <x:c r="H4" s="20" t="str"/>
    </x:row>
    <x:row r="5">
      <x:c r="A5" s="20" t="str">
        <x:v>Calefacción</x:v>
      </x:c>
      <x:c r="B5" s="20" t="str">
        <x:v>gas vs calor recuperado + biogás</x:v>
      </x:c>
      <x:c r="C5" s="46" t="n">
        <x:f>Entradas!$D$5*Entradas!$D$17/Entradas!$D$20*Entradas!$D$19/1000</x:f>
        <x:v>14021.280111111111</x:v>
      </x:c>
      <x:c r="D5" s="46" t="n">
        <x:f>(Entradas!$E$5-Entradas!$E$6)*Entradas!$E$17*Entradas!$E$21/1000</x:f>
        <x:v>332.481</x:v>
      </x:c>
      <x:c r="E5" s="46" t="n">
        <x:f>(Entradas!$F$5-Entradas!$F$6)*Entradas!$F$17*Entradas!$F$21/1000</x:f>
        <x:v>277.0675</x:v>
      </x:c>
      <x:c r="F5" s="32" t="n">
        <x:f>1-D5/C5</x:f>
        <x:v>0.9762874004823192</x:v>
      </x:c>
      <x:c r="G5" s="32" t="n">
        <x:f>1-E5/C5</x:f>
        <x:v>0.9802395004019328</x:v>
      </x:c>
      <x:c r="H5" s="20" t="str"/>
    </x:row>
    <x:row r="6">
      <x:c r="A6" s="20" t="str">
        <x:v>Bombeo red de calor</x:v>
      </x:c>
      <x:c r="B6" s="20" t="str">
        <x:v>electricidad de bombeo explícita</x:v>
      </x:c>
      <x:c r="C6" s="46" t="n">
        <x:f>0</x:f>
        <x:v>0</x:v>
      </x:c>
      <x:c r="D6" s="46" t="n">
        <x:f>Electricidad!F6</x:f>
        <x:v>15.416505</x:v>
      </x:c>
      <x:c r="E6" s="46" t="n">
        <x:f>Electricidad!D6*Entradas!$F$14/1000</x:f>
        <x:v>12.333204000000002</x:v>
      </x:c>
      <x:c r="F6" s="32" t="str">
        <x:v>—</x:v>
      </x:c>
      <x:c r="G6" s="32" t="str">
        <x:v>—</x:v>
      </x:c>
      <x:c r="H6" s="20" t="str"/>
    </x:row>
    <x:row r="7">
      <x:c r="A7" s="20" t="str">
        <x:v>Cocina</x:v>
      </x:c>
      <x:c r="B7" s="20" t="str">
        <x:v>gas fósil vs biogás</x:v>
      </x:c>
      <x:c r="C7" s="46" t="n">
        <x:f>Entradas!$D$5*Entradas!$D$18/Entradas!$D$20*Entradas!$D$19/1000</x:f>
        <x:v>1165.2033333333331</x:v>
      </x:c>
      <x:c r="D7" s="46" t="n">
        <x:f>Entradas!$E$5*Entradas!$E$18*Entradas!$E$21/1000</x:f>
        <x:v>155.745</x:v>
      </x:c>
      <x:c r="E7" s="46" t="n">
        <x:f>Entradas!$F$5*Entradas!$F$18*Entradas!$F$21/1000</x:f>
        <x:v>129.7875</x:v>
      </x:c>
      <x:c r="F7" s="32" t="n">
        <x:f>1-D7/C7</x:f>
        <x:v>0.8663366336633663</x:v>
      </x:c>
      <x:c r="G7" s="32" t="n">
        <x:f>1-E7/C7</x:f>
        <x:v>0.8886138613861386</x:v>
      </x:c>
      <x:c r="H7" s="20" t="str"/>
    </x:row>
    <x:row r="8">
      <x:c r="A8" s="20" t="str">
        <x:v>Movilidad</x:v>
      </x:c>
      <x:c r="B8" s="20" t="str">
        <x:v>gasolina vs BEV/PHEV renovable</x:v>
      </x:c>
      <x:c r="C8" s="46" t="n">
        <x:f>Entradas!$D$7*Entradas!$D$8*Entradas!$D$27/100*Entradas!$D$28*Entradas!$D$29/1000</x:f>
        <x:v>10659.193875</x:v>
      </x:c>
      <x:c r="D8" s="46" t="n">
        <x:f>Electricidad!F5+Entradas!$E$7*Entradas!$E$25*Entradas!$E$8*(1-Entradas!$E$26)*Entradas!$E$27/100*Entradas!$E$28*Entradas!$E$29*Entradas!$E$30/1000</x:f>
        <x:v>283.2832669891304</x:v>
      </x:c>
      <x:c r="E8" s="46" t="n">
        <x:f>Electricidad!D5*Entradas!$F$14/1000</x:f>
        <x:v>174.39839999999998</x:v>
      </x:c>
      <x:c r="F8" s="32" t="n">
        <x:f>1-D8/C8</x:f>
        <x:v>0.9734235749615605</x:v>
      </x:c>
      <x:c r="G8" s="32" t="n">
        <x:f>1-E8/C8</x:f>
        <x:v>0.9836386876864082</x:v>
      </x:c>
      <x:c r="H8" s="20" t="str"/>
    </x:row>
    <x:row r="9">
      <x:c r="A9" s="20" t="str">
        <x:v>Verduras</x:v>
      </x:c>
      <x:c r="B9" s="20" t="str">
        <x:v>cesta × LCA</x:v>
      </x:c>
      <x:c r="C9" s="46" t="n">
        <x:f>Entradas!$D$31*Entradas!$D$34</x:f>
        <x:v>595.6999999999999</x:v>
      </x:c>
      <x:c r="D9" s="46" t="n">
        <x:f>Entradas!$E$31*Entradas!$E$34</x:f>
        <x:v>212.75</x:v>
      </x:c>
      <x:c r="E9" s="46" t="n">
        <x:f>Entradas!$F$31*Entradas!$F$34</x:f>
        <x:v>187.22</x:v>
      </x:c>
      <x:c r="F9" s="32" t="n">
        <x:f>1-D9/C9</x:f>
        <x:v>0.6428571428571428</x:v>
      </x:c>
      <x:c r="G9" s="32" t="n">
        <x:f>1-E9/C9</x:f>
        <x:v>0.6857142857142857</x:v>
      </x:c>
      <x:c r="H9" s="20" t="str"/>
    </x:row>
    <x:row r="10">
      <x:c r="A10" s="20" t="str">
        <x:v>Acuicultura</x:v>
      </x:c>
      <x:c r="B10" s="20" t="str">
        <x:v>cesta × LCA</x:v>
      </x:c>
      <x:c r="C10" s="46" t="n">
        <x:f>Entradas!$D$32*Entradas!$D$35</x:f>
        <x:v>3765</x:v>
      </x:c>
      <x:c r="D10" s="46" t="n">
        <x:f>Entradas!$E$32*Entradas!$E$35</x:f>
        <x:v>1129.5</x:v>
      </x:c>
      <x:c r="E10" s="46" t="n">
        <x:f>Entradas!$F$32*Entradas!$F$35</x:f>
        <x:v>941.25</x:v>
      </x:c>
      <x:c r="F10" s="32" t="n">
        <x:f>1-D10/C10</x:f>
        <x:v>0.7</x:v>
      </x:c>
      <x:c r="G10" s="32" t="n">
        <x:f>1-E10/C10</x:f>
        <x:v>0.75</x:v>
      </x:c>
      <x:c r="H10" s="20" t="str"/>
    </x:row>
    <x:row r="11">
      <x:c r="A11" s="20" t="str">
        <x:v>Pan</x:v>
      </x:c>
      <x:c r="B11" s="20" t="str">
        <x:v>hogares × kg × LCA</x:v>
      </x:c>
      <x:c r="C11" s="46" t="n">
        <x:f>Entradas!$D$5*Entradas!$D$33/1000*Entradas!$D$36</x:f>
        <x:v>332.256</x:v>
      </x:c>
      <x:c r="D11" s="46" t="n">
        <x:f>Entradas!$E$5*Entradas!$E$33/1000*Entradas!$E$36</x:f>
        <x:v>166.128</x:v>
      </x:c>
      <x:c r="E11" s="46" t="n">
        <x:f>Entradas!$F$5*Entradas!$F$33/1000*Entradas!$F$36</x:f>
        <x:v>132.9024</x:v>
      </x:c>
      <x:c r="F11" s="32" t="n">
        <x:f>1-D11/C11</x:f>
        <x:v>0.5</x:v>
      </x:c>
      <x:c r="G11" s="32" t="n">
        <x:f>1-E11/C11</x:f>
        <x:v>0.6</x:v>
      </x:c>
      <x:c r="H11" s="20" t="str"/>
    </x:row>
    <x:row r="12">
      <x:c r="A12" s="20" t="str">
        <x:v>Vacuno</x:v>
      </x:c>
      <x:c r="B12" s="20" t="str">
        <x:v>consumo × LCA × reducción física</x:v>
      </x:c>
      <x:c r="C12" s="46" t="n">
        <x:f>Entradas!$D$4*Entradas!$D$37/1000*Entradas!$D$39</x:f>
        <x:v>1915.2900000000002</x:v>
      </x:c>
      <x:c r="D12" s="46" t="n">
        <x:f>Entradas!$E$4*Entradas!$E$37/1000*Entradas!$E$39*(1-Agricultura!B11)</x:f>
        <x:v>1259.303175</x:v>
      </x:c>
      <x:c r="E12" s="46" t="n">
        <x:f>Entradas!$F$4*Entradas!$F$37/1000*Entradas!$F$39*(1-Agricultura!C11)</x:f>
        <x:v>162.79964999999996</x:v>
      </x:c>
      <x:c r="F12" s="32" t="n">
        <x:f>1-D12/C12</x:f>
        <x:v>0.3425</x:v>
      </x:c>
      <x:c r="G12" s="32" t="n">
        <x:f>1-E12/C12</x:f>
        <x:v>0.915</x:v>
      </x:c>
      <x:c r="H12" s="20" t="str">
        <x:v>Metano + estiércol/biogás + alfalfa/digestato + energía/transporte</x:v>
      </x:c>
    </x:row>
    <x:row r="13">
      <x:c r="A13" s="20" t="str">
        <x:v>Queso</x:v>
      </x:c>
      <x:c r="B13" s="20" t="str">
        <x:v>consumo × LCA × reducción física</x:v>
      </x:c>
      <x:c r="C13" s="46" t="n">
        <x:f>Entradas!$D$4*Entradas!$D$38/1000*Entradas!$D$40</x:f>
        <x:v>1404.546</x:v>
      </x:c>
      <x:c r="D13" s="46" t="n">
        <x:f>Entradas!$E$4*Entradas!$E$38/1000*Entradas!$E$40*(1-Agricultura!B14)</x:f>
        <x:v>649.602525</x:v>
      </x:c>
      <x:c r="E13" s="46" t="n">
        <x:f>Entradas!$F$4*Entradas!$F$38/1000*Entradas!$F$40*(1-Agricultura!C14)</x:f>
        <x:v>169.2477930000001</x:v>
      </x:c>
      <x:c r="F13" s="32" t="n">
        <x:f>1-D13/C13</x:f>
        <x:v>0.5375000000000001</x:v>
      </x:c>
      <x:c r="G13" s="32" t="n">
        <x:f>1-E13/C13</x:f>
        <x:v>0.8795</x:v>
      </x:c>
      <x:c r="H13" s="20" t="str">
        <x:v>Cadena láctea baja en carbono</x:v>
      </x:c>
    </x:row>
    <x:row r="14">
      <x:c r="A14" s="20"/>
      <x:c r="B14" s="20"/>
      <x:c r="C14" s="46"/>
      <x:c r="D14" s="46"/>
      <x:c r="E14" s="46"/>
      <x:c r="F14" s="20"/>
      <x:c r="G14" s="20"/>
      <x:c r="H14" s="20"/>
    </x:row>
    <x:row r="15" ht="22" customHeight="1">
      <x:c r="A15" s="58" t="str">
        <x:v>RESULTADOS DEL SISTEMA</x:v>
      </x:c>
      <x:c r="B15" s="58"/>
      <x:c r="C15" s="59"/>
      <x:c r="D15" s="59"/>
      <x:c r="E15" s="59"/>
      <x:c r="F15" s="58"/>
      <x:c r="G15" s="58"/>
      <x:c r="H15" s="58"/>
    </x:row>
    <x:row r="16">
      <x:c r="A16" s="20" t="str">
        <x:v>Servicios comunitarios brutos</x:v>
      </x:c>
      <x:c r="B16" s="20" t="str">
        <x:v>Electricidad + calor/cocina + movilidad + alimentos; sin cómputo ni exportación</x:v>
      </x:c>
      <x:c r="C16" s="46" t="n">
        <x:f>SUM(C4:C13)</x:f>
        <x:v>36297.61876024445</x:v>
      </x:c>
      <x:c r="D16" s="46" t="n">
        <x:f>SUM(D4:D13)</x:f>
        <x:v>4393.29082398913</x:v>
      </x:c>
      <x:c r="E16" s="46" t="n">
        <x:f>SUM(E4:E13)</x:f>
        <x:v>2376.087799</x:v>
      </x:c>
      <x:c r="F16" s="20"/>
      <x:c r="G16" s="20"/>
      <x:c r="H16" s="20"/>
    </x:row>
    <x:row r="17">
      <x:c r="A17" s="20" t="str">
        <x:v>Crédito por exportación renovable</x:v>
      </x:c>
      <x:c r="B17" s="20" t="str">
        <x:v>Solo si generación propia &gt; demanda eléctrica total</x:v>
      </x:c>
      <x:c r="C17" s="46" t="n">
        <x:f>Electricidad!B14*(Entradas!$D$12-0)/1000</x:f>
        <x:v>0</x:v>
      </x:c>
      <x:c r="D17" s="46" t="n">
        <x:f>Electricidad!C14*(Entradas!$D$12-Entradas!$E$14)/1000</x:f>
        <x:v>0</x:v>
      </x:c>
      <x:c r="E17" s="46" t="n">
        <x:f>Electricidad!D14*(Entradas!$D$12-Entradas!$F$14)/1000</x:f>
        <x:v>0</x:v>
      </x:c>
      <x:c r="F17" s="20"/>
      <x:c r="G17" s="20"/>
      <x:c r="H17" s="20"/>
    </x:row>
    <x:row r="18">
      <x:c r="A18" s="20" t="str">
        <x:v>Comunidad neta tras exportación</x:v>
      </x:c>
      <x:c r="B18" s="20" t="str">
        <x:v>Servicios comunitarios menos crédito real de exportación</x:v>
      </x:c>
      <x:c r="C18" s="46" t="n">
        <x:f>C16-C17</x:f>
        <x:v>36297.61876024445</x:v>
      </x:c>
      <x:c r="D18" s="46" t="n">
        <x:f>D16-D17</x:f>
        <x:v>4393.29082398913</x:v>
      </x:c>
      <x:c r="E18" s="46" t="n">
        <x:f>E16-E17</x:f>
        <x:v>2376.087799</x:v>
      </x:c>
      <x:c r="F18" s="20"/>
      <x:c r="G18" s="20"/>
      <x:c r="H18" s="20"/>
    </x:row>
    <x:row r="19">
      <x:c r="A19" s="20" t="str">
        <x:v>Sistema integrado directo equivalente</x:v>
      </x:c>
      <x:c r="B19" s="20" t="str">
        <x:v>Comunidad + mismo cómputo de 35,74 MW; sin restar exportación no existente</x:v>
      </x:c>
      <x:c r="C19" s="46" t="n">
        <x:f>C16+Electricidad!B17</x:f>
        <x:v>153421.74460024445</x:v>
      </x:c>
      <x:c r="D19" s="46" t="n">
        <x:f>D16+Electricidad!C17</x:f>
        <x:v>12051.286327989132</x:v>
      </x:c>
      <x:c r="E19" s="46" t="n">
        <x:f>E16+Electricidad!D17</x:f>
        <x:v>10034.083303000001</x:v>
      </x:c>
      <x:c r="F19" s="20"/>
      <x:c r="G19" s="20"/>
      <x:c r="H19" s="20"/>
    </x:row>
    <x:row r="20">
      <x:c r="A20" s="20" t="str">
        <x:v>Reducción comunitaria bruta</x:v>
      </x:c>
      <x:c r="B20" s="20" t="str">
        <x:v>Vida comunitaria</x:v>
      </x:c>
      <x:c r="C20" s="20"/>
      <x:c r="D20" s="32" t="n">
        <x:f>1-D16/C16</x:f>
        <x:v>0.87896476479606</x:v>
      </x:c>
      <x:c r="E20" s="32" t="n">
        <x:f>1-E16/C16</x:f>
        <x:v>0.9345387416542473</x:v>
      </x:c>
      <x:c r="F20" s="20"/>
      <x:c r="G20" s="20"/>
      <x:c r="H20" s="20"/>
    </x:row>
    <x:row r="21">
      <x:c r="A21" s="20" t="str">
        <x:v>Reducción sistema integrado directo</x:v>
      </x:c>
      <x:c r="B21" s="20" t="str">
        <x:v>Microcosmos completo con el mismo servicio informático</x:v>
      </x:c>
      <x:c r="C21" s="20"/>
      <x:c r="D21" s="32" t="n">
        <x:f>1-D19/C19</x:f>
        <x:v>0.9214499459682853</x:v>
      </x:c>
      <x:c r="E21" s="32" t="n">
        <x:f>1-E19/C19</x:f>
        <x:v>0.9345980367441082</x:v>
      </x:c>
      <x:c r="F21" s="20"/>
      <x:c r="G21" s="20"/>
      <x:c r="H21" s="20"/>
    </x:row>
    <x:row r="22">
      <x:c r="A22" s="20" t="str">
        <x:v>Cobertura eléctrica propia del sistema</x:v>
      </x:c>
      <x:c r="B22" s="20" t="str">
        <x:v>Generación propia / demanda eléctrica total</x:v>
      </x:c>
      <x:c r="C22" s="20"/>
      <x:c r="D22" s="32" t="n">
        <x:f>Electricidad!C10/Electricidad!C9</x:f>
        <x:v>0.7427226050654147</x:v>
      </x:c>
      <x:c r="E22" s="32" t="n">
        <x:f>Electricidad!D10/Electricidad!D9</x:f>
        <x:v>0.7423627324069907</x:v>
      </x:c>
      <x:c r="F22" s="20"/>
      <x:c r="G22" s="20"/>
      <x:c r="H22" s="20"/>
    </x:row>
  </x:sheetData>
  <x:mergeCells>
    <x:mergeCell ref="A1:H1"/>
    <x:mergeCell ref="A15:H15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18" hidden="0" customWidth="1"/>
    <x:col min="3" max="3" width="18" hidden="0" customWidth="1"/>
    <x:col min="4" max="4" width="18" hidden="0" customWidth="1"/>
    <x:col min="5" max="5" width="42" hidden="0" customWidth="1"/>
    <x:col min="6" max="6" width="18" hidden="0" customWidth="1"/>
    <x:col min="7" max="7" width="15" hidden="0" customWidth="1"/>
    <x:col min="8" max="8" width="15" hidden="0" customWidth="1"/>
  </x:cols>
  <x:sheetData>
    <x:row r="1" ht="30" customHeight="1">
      <x:c r="A1" s="102" t="str">
        <x:v>Predicción física — Los Jardines Digitales · seis sitios renovables</x:v>
      </x:c>
      <x:c r="B1" s="102"/>
      <x:c r="C1" s="102"/>
      <x:c r="D1" s="102"/>
      <x:c r="E1" s="102"/>
      <x:c r="F1" s="102"/>
      <x:c r="G1" s="4"/>
      <x:c r="H1" s="4"/>
    </x:row>
    <x:row r="3" ht="22" customHeight="1">
      <x:c r="A3" s="52" t="str">
        <x:v>Predicción anual operativa</x:v>
      </x:c>
      <x:c r="B3" s="52"/>
      <x:c r="C3" s="52"/>
      <x:c r="D3" s="52"/>
      <x:c r="E3" s="52"/>
      <x:c r="F3" s="52"/>
      <x:c r="G3" s="52"/>
      <x:c r="H3" s="52"/>
    </x:row>
    <x:row r="5">
      <x:c r="A5" s="73" t="str">
        <x:v>Indicador</x:v>
      </x:c>
      <x:c r="B5" s="73" t="str">
        <x:v>Diseño</x:v>
      </x:c>
      <x:c r="C5" s="73" t="str">
        <x:v>Máximo futuro</x:v>
      </x:c>
      <x:c r="E5" s="73" t="str">
        <x:v>Elemento físico</x:v>
      </x:c>
      <x:c r="F5" s="73" t="str">
        <x:v>Resultado</x:v>
      </x:c>
    </x:row>
    <x:row r="6">
      <x:c r="A6" t="str">
        <x:v>Reducción bruta servicios comunitarios</x:v>
      </x:c>
      <x:c r="B6" s="24" t="n">
        <x:f>'Cálculos'!D20</x:f>
        <x:v>0.87896476479606</x:v>
      </x:c>
      <x:c r="C6" s="24" t="n">
        <x:f>'Cálculos'!E20</x:f>
        <x:v>0.9345387416542473</x:v>
      </x:c>
      <x:c r="E6" t="str">
        <x:v>Sitios renovables</x:v>
      </x:c>
      <x:c r="F6" s="103" t="n">
        <x:v>6</x:v>
      </x:c>
    </x:row>
    <x:row r="7">
      <x:c r="A7" t="str">
        <x:v>Huella comunitaria bruta tCO2e/año</x:v>
      </x:c>
      <x:c r="B7" s="42" t="n">
        <x:f>'Cálculos'!D16</x:f>
        <x:v>4393.29082398913</x:v>
      </x:c>
      <x:c r="C7" s="42" t="n">
        <x:f>'Cálculos'!E16</x:f>
        <x:v>2376.087799</x:v>
      </x:c>
      <x:c r="E7" t="str">
        <x:v>Capacidad eólica total MW</x:v>
      </x:c>
      <x:c r="F7" s="28" t="n">
        <x:v>90</x:v>
      </x:c>
    </x:row>
    <x:row r="8">
      <x:c r="A8" t="str">
        <x:v>Generación propia total GWh/año</x:v>
      </x:c>
      <x:c r="B8" s="42" t="n">
        <x:f>Electricidad!C10/1000000</x:f>
        <x:v>298.19999999999993</x:v>
      </x:c>
      <x:c r="C8" s="42" t="n">
        <x:f>Electricidad!D10/1000000</x:f>
        <x:v>298.19999999999993</x:v>
      </x:c>
      <x:c r="E8" t="str">
        <x:v>Capacidad solar total MWp</x:v>
      </x:c>
      <x:c r="F8" s="28" t="n">
        <x:v>30</x:v>
      </x:c>
    </x:row>
    <x:row r="9">
      <x:c r="A9" t="str">
        <x:v>Cobertura propia de demanda eléctrica total</x:v>
      </x:c>
      <x:c r="B9" s="24" t="n">
        <x:f>'Cálculos'!D22</x:f>
        <x:v>0.7427226050654147</x:v>
      </x:c>
      <x:c r="C9" s="24" t="n">
        <x:f>'Cálculos'!E22</x:f>
        <x:v>0.7423627324069907</x:v>
      </x:c>
      <x:c r="E9" t="str">
        <x:v>Generación propia GWh/año</x:v>
      </x:c>
      <x:c r="F9" s="42" t="n">
        <x:f>Electricidad!C10/1000000</x:f>
        <x:v>298.19999999999993</x:v>
      </x:c>
    </x:row>
    <x:row r="10">
      <x:c r="A10" t="str">
        <x:v>PPA renovable residual GWh/año</x:v>
      </x:c>
      <x:c r="B10" s="42" t="n">
        <x:f>Electricidad!C13/1000000</x:f>
        <x:v>103.29579125000012</x:v>
      </x:c>
      <x:c r="C10" s="42" t="n">
        <x:f>Electricidad!D13/1000000</x:f>
        <x:v>103.49042300000012</x:v>
      </x:c>
      <x:c r="E10" t="str">
        <x:v>Demanda eléctrica total diseño GWh/año</x:v>
      </x:c>
      <x:c r="F10" s="42" t="n">
        <x:f>Electricidad!C9/1000000</x:f>
        <x:v>401.4957912500001</x:v>
      </x:c>
    </x:row>
    <x:row r="11">
      <x:c r="A11" t="str">
        <x:v>Excedente renovable exportado GWh/año</x:v>
      </x:c>
      <x:c r="B11" s="42" t="n">
        <x:f>Electricidad!C14/1000000</x:f>
        <x:v>0</x:v>
      </x:c>
      <x:c r="C11" s="42" t="n">
        <x:f>Electricidad!D14/1000000</x:f>
        <x:v>0</x:v>
      </x:c>
      <x:c r="E11" t="str">
        <x:v>PPA residual diseño GWh/año</x:v>
      </x:c>
      <x:c r="F11" s="42" t="n">
        <x:f>Electricidad!C13/1000000</x:f>
        <x:v>103.29579125000012</x:v>
      </x:c>
    </x:row>
    <x:row r="12">
      <x:c r="A12" t="str">
        <x:v>Reducción sistema integrado directo</x:v>
      </x:c>
      <x:c r="B12" s="24" t="n">
        <x:f>'Cálculos'!D21</x:f>
        <x:v>0.9214499459682853</x:v>
      </x:c>
      <x:c r="C12" s="24" t="n">
        <x:f>'Cálculos'!E21</x:f>
        <x:v>0.9345980367441082</x:v>
      </x:c>
      <x:c r="E12" t="str">
        <x:v>Vacuno — reducción diseño</x:v>
      </x:c>
      <x:c r="F12" s="24" t="n">
        <x:v>0.3425</x:v>
      </x:c>
    </x:row>
    <x:row r="13">
      <x:c r="E13" t="str">
        <x:v>Vacuno — máximo futuro</x:v>
      </x:c>
      <x:c r="F13" s="24" t="n">
        <x:v>0.915</x:v>
      </x:c>
    </x:row>
    <x:row r="14" ht="22" customHeight="1">
      <x:c r="A14" s="106" t="str">
        <x:v>Qué incluye el resultado</x:v>
      </x:c>
      <x:c r="B14" s="106"/>
      <x:c r="C14" s="106"/>
      <x:c r="D14" s="106"/>
      <x:c r="E14" s="106" t="str">
        <x:v>Queso — máximo futuro</x:v>
      </x:c>
      <x:c r="F14" s="107" t="n">
        <x:v>0.8795</x:v>
      </x:c>
      <x:c r="G14" s="52"/>
      <x:c r="H14" s="52"/>
    </x:row>
    <x:row r="15" ht="110" customHeight="1">
      <x:c r="A15" s="109" t="str">
        <x:v>El modelo utiliza seis emplazamientos renovables: 90 MW eólicos y 30 MWp solares, con una producción de planificación de ≈298,2 GWh/año. La generación propia se asigna primero a toda la demanda eléctrica modelada —hogares, vehículos, bombeo y centros de datos—. Con ≈401,5 GWh/año de demanda eléctrica en el diseño, ≈298,2 GWh se cubren con generación propia y ≈103,3 GWh con PPA renovable horario. Solo existe exportación cuando la generación propia supera la demanda eléctrica total.</x:v>
      </x:c>
      <x:c r="B15" s="109"/>
      <x:c r="C15" s="109"/>
      <x:c r="D15" s="109"/>
      <x:c r="E15" s="109"/>
      <x:c r="F15" s="109"/>
      <x:c r="G15" s="20"/>
      <x:c r="H15" s="20"/>
    </x:row>
    <x:row r="16">
      <x:c r="A16" s="20"/>
      <x:c r="B16" s="20"/>
      <x:c r="C16" s="20"/>
      <x:c r="D16" s="20"/>
      <x:c r="E16" s="20"/>
      <x:c r="F16" s="20"/>
      <x:c r="G16" s="20"/>
      <x:c r="H16" s="20"/>
    </x:row>
    <x:row r="17">
      <x:c r="A17" s="20"/>
      <x:c r="B17" s="20"/>
      <x:c r="C17" s="20"/>
      <x:c r="D17" s="20"/>
      <x:c r="E17" s="20"/>
      <x:c r="F17" s="20"/>
      <x:c r="G17" s="20"/>
      <x:c r="H17" s="20"/>
    </x:row>
    <x:row r="18">
      <x:c r="A18" s="20"/>
      <x:c r="B18" s="20"/>
      <x:c r="C18" s="20"/>
      <x:c r="D18" s="20"/>
      <x:c r="E18" s="20"/>
      <x:c r="F18" s="20"/>
      <x:c r="G18" s="20"/>
      <x:c r="H18" s="20"/>
    </x:row>
    <x:row r="19">
      <x:c r="A19" s="20"/>
      <x:c r="B19" s="20"/>
      <x:c r="C19" s="20"/>
      <x:c r="D19" s="20"/>
      <x:c r="E19" s="20"/>
      <x:c r="F19" s="20"/>
      <x:c r="G19" s="20"/>
      <x:c r="H19" s="20"/>
    </x:row>
    <x:row r="20">
      <x:c r="A20" s="20"/>
      <x:c r="B20" s="20"/>
      <x:c r="C20" s="20"/>
      <x:c r="D20" s="20"/>
      <x:c r="E20" s="20"/>
      <x:c r="F20" s="20"/>
      <x:c r="G20" s="20"/>
      <x:c r="H20" s="20"/>
    </x:row>
    <x:row r="22">
      <x:c r="A22" s="73" t="str">
        <x:v>Escenario</x:v>
      </x:c>
      <x:c r="B22" s="73" t="str">
        <x:v>Convencional</x:v>
      </x:c>
      <x:c r="C22" s="73" t="str">
        <x:v>Proyecto</x:v>
      </x:c>
      <x:c r="D22" s="73" t="str">
        <x:v>Máximo futuro</x:v>
      </x:c>
    </x:row>
    <x:row r="23">
      <x:c r="A23" t="str">
        <x:v>Servicios comunitarios brutos</x:v>
      </x:c>
      <x:c r="B23" s="42" t="n">
        <x:f>'Cálculos'!C16</x:f>
        <x:v>36297.61876024445</x:v>
      </x:c>
      <x:c r="C23" s="42" t="n">
        <x:f>'Cálculos'!D16</x:f>
        <x:v>4393.29082398913</x:v>
      </x:c>
      <x:c r="D23" s="42" t="n">
        <x:f>'Cálculos'!E16</x:f>
        <x:v>2376.087799</x:v>
      </x:c>
    </x:row>
    <x:row r="24">
      <x:c r="A24" t="str">
        <x:v>Sistema integrado directo equivalente</x:v>
      </x:c>
      <x:c r="B24" s="42" t="n">
        <x:f>'Cálculos'!C19</x:f>
        <x:v>153421.74460024445</x:v>
      </x:c>
      <x:c r="C24" s="42" t="n">
        <x:f>'Cálculos'!D19</x:f>
        <x:v>12051.286327989132</x:v>
      </x:c>
      <x:c r="D24" s="42" t="n">
        <x:f>'Cálculos'!E19</x:f>
        <x:v>10034.083303000001</x:v>
      </x:c>
    </x:row>
    <x:row r="25">
      <x:c r="A25" t="str">
        <x:v>Excedente renovable exportado GWh/año</x:v>
      </x:c>
      <x:c r="B25" s="42" t="n">
        <x:f>0</x:f>
        <x:v>0</x:v>
      </x:c>
      <x:c r="C25" s="42" t="n">
        <x:f>Electricidad!C14/1000000</x:f>
        <x:v>0</x:v>
      </x:c>
      <x:c r="D25" s="42" t="n">
        <x:f>Electricidad!D14/1000000</x:f>
        <x:v>0</x:v>
      </x:c>
    </x:row>
  </x:sheetData>
  <x:mergeCells>
    <x:mergeCell ref="A1:H1"/>
    <x:mergeCell ref="A3:H3"/>
    <x:mergeCell ref="A14:H14"/>
    <x:mergeCell ref="A15:H20"/>
    <x:mergeCell ref="A15:F15"/>
    <x:mergeCell ref="A1:F1"/>
  </x:mergeCells>
  <x:pageMargins left="0.7" right="0.7" top="0.75" bottom="0.75" header="0.3" footer="0.3"/>
  <x:drawing xmlns:r="http://schemas.openxmlformats.org/officeDocument/2006/relationships" r:id="Ra96ec1f6e6b945e7"/>
</x:worksheet>
</file>

<file path=xl/worksheets/sheet6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4.75" hidden="0" customWidth="1"/>
    <x:col min="3" max="3" width="6" hidden="0" customWidth="1"/>
    <x:col min="4" max="4" width="3.75" hidden="0" customWidth="1"/>
    <x:col min="5" max="5" width="24" hidden="0" customWidth="1"/>
    <x:col min="6" max="6" width="48" hidden="0" customWidth="1"/>
  </x:cols>
  <x:sheetData>
    <x:row r="1" ht="29" customHeight="1">
      <x:c r="A1" s="100" t="str">
        <x:v>Sensibilidades principales — modelo físico</x:v>
      </x:c>
      <x:c r="B1" s="97"/>
      <x:c r="C1" s="97"/>
      <x:c r="D1" s="97"/>
      <x:c r="E1" s="97"/>
      <x:c r="F1" s="97"/>
    </x:row>
    <x:row r="2">
      <x:c r="A2" s="20"/>
      <x:c r="B2" s="20"/>
      <x:c r="C2" s="20"/>
      <x:c r="D2" s="20"/>
      <x:c r="E2" s="20"/>
      <x:c r="F2" s="20"/>
    </x:row>
    <x:row r="3">
      <x:c r="A3" s="73" t="str">
        <x:v>Variable</x:v>
      </x:c>
      <x:c r="B3" s="73" t="str">
        <x:v>Bajo</x:v>
      </x:c>
      <x:c r="C3" s="73" t="str">
        <x:v>Central</x:v>
      </x:c>
      <x:c r="D3" s="73" t="str">
        <x:v>Alto</x:v>
      </x:c>
      <x:c r="E3" s="73" t="str">
        <x:v>Resultado afectado</x:v>
      </x:c>
      <x:c r="F3" s="73" t="str">
        <x:v>Lectura</x:v>
      </x:c>
    </x:row>
    <x:row r="4">
      <x:c r="A4" s="20" t="str">
        <x:v>Factor PPA renovable kgCO2e/kWh</x:v>
      </x:c>
      <x:c r="B4" s="20" t="n">
        <x:v>0.01</x:v>
      </x:c>
      <x:c r="C4" s="20" t="n">
        <x:v>0.02</x:v>
      </x:c>
      <x:c r="D4" s="20" t="n">
        <x:v>0.05</x:v>
      </x:c>
      <x:c r="E4" s="20" t="str">
        <x:v>Sistema integrado</x:v>
      </x:c>
      <x:c r="F4" s="20" t="str">
        <x:v>Afecta solo la fracción residual cubierta por PPA (~103 GWh/año en diseño).</x:v>
      </x:c>
    </x:row>
    <x:row r="5">
      <x:c r="A5" s="20" t="str">
        <x:v>Factor generación propia kgCO2e/kWh</x:v>
      </x:c>
      <x:c r="B5" s="20" t="n">
        <x:v>0.01</x:v>
      </x:c>
      <x:c r="C5" s="20" t="n">
        <x:v>0.02</x:v>
      </x:c>
      <x:c r="D5" s="20" t="n">
        <x:v>0.04</x:v>
      </x:c>
      <x:c r="E5" s="20" t="str">
        <x:v>Comunidad + centros de datos</x:v>
      </x:c>
      <x:c r="F5" s="20" t="str">
        <x:v>Afecta ~298,2 GWh/año de generación propia.</x:v>
      </x:c>
    </x:row>
    <x:row r="6">
      <x:c r="A6" s="20" t="str">
        <x:v>Generación propia total GWh/año</x:v>
      </x:c>
      <x:c r="B6" s="20" t="n">
        <x:v>250</x:v>
      </x:c>
      <x:c r="C6" s="20" t="n">
        <x:v>298.2</x:v>
      </x:c>
      <x:c r="D6" s="20" t="n">
        <x:v>350</x:v>
      </x:c>
      <x:c r="E6" s="20" t="str">
        <x:v>Cobertura/PPA/exportación</x:v>
      </x:c>
      <x:c r="F6" s="20" t="str">
        <x:v>La exportación solo aparece si la generación supera la demanda eléctrica total (~401,5 GWh/año).</x:v>
      </x:c>
    </x:row>
    <x:row r="7">
      <x:c r="A7" s="20" t="str">
        <x:v>Bombeo red calor kWh/kWhth</x:v>
      </x:c>
      <x:c r="B7" s="20" t="n">
        <x:v>0.005</x:v>
      </x:c>
      <x:c r="C7" s="20" t="n">
        <x:v>0.015</x:v>
      </x:c>
      <x:c r="D7" s="20" t="n">
        <x:v>0.03</x:v>
      </x:c>
      <x:c r="E7" s="20" t="str">
        <x:v>Comunidad</x:v>
      </x:c>
      <x:c r="F7" s="20" t="str">
        <x:v>Carga pequeña frente a calefacción fósil evitada.</x:v>
      </x:c>
    </x:row>
    <x:row r="8">
      <x:c r="A8" s="20" t="str">
        <x:v>Reducción metano estiércol</x:v>
      </x:c>
      <x:c r="B8" s="20" t="n">
        <x:v>0.8</x:v>
      </x:c>
      <x:c r="C8" s="20" t="n">
        <x:v>0.85</x:v>
      </x:c>
      <x:c r="D8" s="20" t="n">
        <x:v>0.9</x:v>
      </x:c>
      <x:c r="E8" s="20" t="str">
        <x:v>Vacuno/queso</x:v>
      </x:c>
      <x:c r="F8" s="20" t="str">
        <x:v>Digestor sellado y tasa de captura.</x:v>
      </x:c>
    </x:row>
    <x:row r="9">
      <x:c r="A9" s="20" t="str">
        <x:v>Reducción máxima metano entérico</x:v>
      </x:c>
      <x:c r="B9" s="20" t="n">
        <x:v>0.8</x:v>
      </x:c>
      <x:c r="C9" s="20" t="n">
        <x:v>0.98</x:v>
      </x:c>
      <x:c r="D9" s="20" t="n">
        <x:v>0.99</x:v>
      </x:c>
      <x:c r="E9" s="20" t="str">
        <x:v>Vacuno/queso máximo</x:v>
      </x:c>
      <x:c r="F9" s="20" t="str">
        <x:v>Afecta fuertemente por el GWP del metano.</x:v>
      </x:c>
    </x:row>
    <x:row r="10">
      <x:c r="A10" s="20"/>
      <x:c r="B10" s="20"/>
      <x:c r="C10" s="20"/>
      <x:c r="D10" s="20"/>
      <x:c r="E10" s="20"/>
      <x:c r="F10" s="20"/>
    </x:row>
  </x:sheetData>
  <x:mergeCells>
    <x:mergeCell ref="A1:F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32" hidden="0" customWidth="1"/>
    <x:col min="3" max="3" width="55" hidden="0" customWidth="1"/>
    <x:col min="4" max="4" width="50" hidden="0" customWidth="1"/>
  </x:cols>
  <x:sheetData>
    <x:row r="1" ht="29" customHeight="1">
      <x:c r="A1" s="98" t="str">
        <x:v>Fuentes y bases de cálculo</x:v>
      </x:c>
      <x:c r="B1" s="4"/>
      <x:c r="C1" s="4"/>
      <x:c r="D1" s="4"/>
    </x:row>
    <x:row r="3">
      <x:c r="A3" s="11" t="str">
        <x:v>Dato</x:v>
      </x:c>
      <x:c r="B3" s="11" t="str">
        <x:v>Uso</x:v>
      </x:c>
      <x:c r="C3" s="11" t="str">
        <x:v>Fuente</x:v>
      </x:c>
      <x:c r="D3" s="11" t="str">
        <x:v>Observación</x:v>
      </x:c>
    </x:row>
    <x:row r="4">
      <x:c r="A4" s="20" t="str">
        <x:v>6 sitios × 15 MW eólico + 5 MWp solar; ≈298,2 GWh/año</x:v>
      </x:c>
      <x:c r="B4" s="20" t="str">
        <x:v>Generación propia</x:v>
      </x:c>
      <x:c r="C4" s="20" t="str">
        <x:v>Base de diseño del promotor / planos de emplazamiento</x:v>
      </x:c>
      <x:c r="D4" s="20" t="str">
        <x:v>90 MW eólico + 30 MWp solar. Producción modelada con factores editables en la hoja Generación.</x:v>
      </x:c>
    </x:row>
    <x:row r="5">
      <x:c r="A5" s="20" t="str">
        <x:v>PPA renovable con matching horario</x:v>
      </x:c>
      <x:c r="B5" s="20" t="str">
        <x:v>Electricidad residual del sistema</x:v>
      </x:c>
      <x:c r="C5" s="20" t="str">
        <x:v>CERO Teruel Investment Memorandum</x:v>
      </x:c>
      <x:c r="D5" s="20" t="str">
        <x:v>Se aplica solo a la demanda eléctrica que excede la generación propia; no se usa crédito de exportación en el caso central.</x:v>
      </x:c>
    </x:row>
    <x:row r="6">
      <x:c r="A6" s="20" t="str">
        <x:v>2.160 kWh/vehículo/año; ~12.000 km</x:v>
      </x:c>
      <x:c r="B6" s="20" t="str">
        <x:v>Movilidad eléctrica</x:v>
      </x:c>
      <x:c r="C6" s="20" t="str">
        <x:v>CERO_Teruel_Master_Covenant_Agreement.pdf — Schedule 2B</x:v>
      </x:c>
      <x:c r="D6" s="20" t="str"/>
    </x:row>
    <x:row r="7">
      <x:c r="A7" s="20" t="str">
        <x:v>18.050 kWhth/hogar-año</x:v>
      </x:c>
      <x:c r="B7" s="20" t="str">
        <x:v>Calefacción</x:v>
      </x:c>
      <x:c r="C7" s="20" t="str">
        <x:v>CERO_Teruel_Master_Covenant_Agreement.pdf — Schedule 2C</x:v>
      </x:c>
      <x:c r="D7" s="20" t="str"/>
    </x:row>
    <x:row r="8">
      <x:c r="A8" s="20" t="str">
        <x:v>Digestato gratuito</x:v>
      </x:c>
      <x:c r="B8" s="20" t="str">
        <x:v>Alfalfa/fertilizante</x:v>
      </x:c>
      <x:c r="C8" s="20" t="str">
        <x:v>CERO_Teruel_Master_Covenant_Agreement.pdf — cláusula 36.3</x:v>
      </x:c>
      <x:c r="D8" s="20" t="str"/>
    </x:row>
    <x:row r="9">
      <x:c r="A9" s="20" t="str">
        <x:v>Máximo vacuno 85–92%; queso 80–88%</x:v>
      </x:c>
      <x:c r="B9" s="20" t="str">
        <x:v>Agricultura máximo futuro</x:v>
      </x:c>
      <x:c r="C9" s="20" t="str">
        <x:v>Cálculo de sistema circular aportado por el usuario</x:v>
      </x:c>
      <x:c r="D9" s="20" t="str">
        <x:v>La descomposición obtiene ~91,5% y ~88%.</x:v>
      </x:c>
    </x:row>
    <x:row r="10">
      <x:c r="A10" s="20" t="str">
        <x:v>Red España 0,258 kgCO2e/kWh</x:v>
      </x:c>
      <x:c r="B10" s="20" t="str">
        <x:v>Electricidad convencional / eventual exportación</x:v>
      </x:c>
      <x:c r="C10" s="20" t="str">
        <x:v>CNMC / etiquetado electricidad 2025</x:v>
      </x:c>
      <x:c r="D10" s="20" t="str">
        <x:v>Editable; la exportación es 0 en el caso central.</x:v>
      </x:c>
    </x:row>
    <x:row r="11">
      <x:c r="A11" s="20" t="str">
        <x:v>Electricidad doméstica 2.731,6 kWh/hogar-año</x:v>
      </x:c>
      <x:c r="B11" s="20" t="str">
        <x:v>Demanda residencial</x:v>
      </x:c>
      <x:c r="C11" s="20" t="str">
        <x:v>INE</x:v>
      </x:c>
      <x:c r="D11" s="20" t="str">
        <x:v>Editable</x:v>
      </x:c>
    </x:row>
    <x:row r="12">
      <x:c r="A12" s="20" t="str">
        <x:v>Huella vacuno 60; queso 22 kgCO2e/kg</x:v>
      </x:c>
      <x:c r="B12" s="20" t="str">
        <x:v>LCA de referencia</x:v>
      </x:c>
      <x:c r="C12" s="20" t="str">
        <x:v>Poore &amp; Nemecek / literatura LCA alimentaria</x:v>
      </x:c>
      <x:c r="D12" s="20" t="str">
        <x:v>Valores de cribado</x:v>
      </x:c>
    </x:row>
  </x:sheetData>
  <x:mergeCells>
    <x:mergeCell ref="A1:D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10.25" hidden="0" customWidth="1"/>
    <x:col min="3" max="3" width="8.75" hidden="0" customWidth="1"/>
    <x:col min="4" max="4" width="9" hidden="0" customWidth="1"/>
    <x:col min="5" max="5" width="22.3799991607666" hidden="0" customWidth="1"/>
    <x:col min="6" max="6" width="20" hidden="0" customWidth="1"/>
    <x:col min="8" max="8" width="28" hidden="0" customWidth="1"/>
    <x:col min="9" max="9" width="42" hidden="0" customWidth="1"/>
  </x:cols>
  <x:sheetData>
    <x:row r="1">
      <x:c r="A1" s="76" t="str">
        <x:v>Generación renovable por emplazamiento — base física de seis sitios</x:v>
      </x:c>
      <x:c r="B1" s="76"/>
      <x:c r="C1" s="76"/>
      <x:c r="D1" s="76"/>
      <x:c r="E1" s="76"/>
      <x:c r="F1" s="76"/>
      <x:c r="G1" s="20"/>
      <x:c r="H1" s="20"/>
      <x:c r="I1" s="20"/>
    </x:row>
    <x:row r="2">
      <x:c r="A2" s="20"/>
      <x:c r="B2" s="20"/>
      <x:c r="C2" s="20"/>
      <x:c r="D2" s="20"/>
      <x:c r="E2" s="20"/>
      <x:c r="F2" s="20"/>
      <x:c r="G2" s="20"/>
      <x:c r="H2" s="73" t="str">
        <x:v>Supuesto de producción</x:v>
      </x:c>
      <x:c r="I2" s="73" t="str">
        <x:v>Valor</x:v>
      </x:c>
    </x:row>
    <x:row r="3">
      <x:c r="A3" s="73" t="str">
        <x:v>Emplazamiento</x:v>
      </x:c>
      <x:c r="B3" s="73" t="str">
        <x:v>Carga IT MW</x:v>
      </x:c>
      <x:c r="C3" s="73" t="str">
        <x:v>Eólico MW</x:v>
      </x:c>
      <x:c r="D3" s="73" t="str">
        <x:v>Solar MWp</x:v>
      </x:c>
      <x:c r="E3" s="73" t="str">
        <x:v>Generación propia GWh/año</x:v>
      </x:c>
      <x:c r="F3" s="73" t="str">
        <x:v>Energía DC GWh/año</x:v>
      </x:c>
      <x:c r="G3" s="20"/>
      <x:c r="H3" s="20" t="str">
        <x:v>Factor de capacidad eólico</x:v>
      </x:c>
      <x:c r="I3" s="32" t="n">
        <x:v>0.3115677321156773</x:v>
      </x:c>
    </x:row>
    <x:row r="4">
      <x:c r="A4" s="20" t="str">
        <x:v>Cella</x:v>
      </x:c>
      <x:c r="B4" s="78" t="n">
        <x:v>11.8</x:v>
      </x:c>
      <x:c r="C4" s="78" t="n">
        <x:v>15</x:v>
      </x:c>
      <x:c r="D4" s="78" t="n">
        <x:v>5</x:v>
      </x:c>
      <x:c r="E4" s="78" t="n">
        <x:f>C4*$I$3*$I$5/1000+D4*$I$4*$I$5/1000</x:f>
        <x:v>49.69999999999999</x:v>
      </x:c>
      <x:c r="F4" s="78" t="n">
        <x:f>B4*$I$5*Entradas!$E$11/1000</x:f>
        <x:v>126.41906400000002</x:v>
      </x:c>
      <x:c r="G4" s="20"/>
      <x:c r="H4" s="20" t="str">
        <x:v>Factor de capacidad solar</x:v>
      </x:c>
      <x:c r="I4" s="32" t="n">
        <x:v>0.2</x:v>
      </x:c>
    </x:row>
    <x:row r="5">
      <x:c r="A5" s="20" t="str">
        <x:v>Monreal del Campo</x:v>
      </x:c>
      <x:c r="B5" s="78" t="n">
        <x:v>11.26</x:v>
      </x:c>
      <x:c r="C5" s="78" t="n">
        <x:v>15</x:v>
      </x:c>
      <x:c r="D5" s="78" t="n">
        <x:v>5</x:v>
      </x:c>
      <x:c r="E5" s="78" t="n">
        <x:f>C5*$I$3*$I$5/1000+D5*$I$4*$I$5/1000</x:f>
        <x:v>49.69999999999999</x:v>
      </x:c>
      <x:c r="F5" s="78" t="n">
        <x:f>B5*$I$5*Entradas!$E$11/1000</x:f>
        <x:v>120.6337848</x:v>
      </x:c>
      <x:c r="G5" s="20"/>
      <x:c r="H5" s="20" t="str">
        <x:v>Horas/año</x:v>
      </x:c>
      <x:c r="I5" s="20" t="n">
        <x:v>8760</x:v>
      </x:c>
    </x:row>
    <x:row r="6">
      <x:c r="A6" s="20" t="str">
        <x:v>Santa Eulalia del Campo</x:v>
      </x:c>
      <x:c r="B6" s="78" t="n">
        <x:v>4.38</x:v>
      </x:c>
      <x:c r="C6" s="78" t="n">
        <x:v>15</x:v>
      </x:c>
      <x:c r="D6" s="78" t="n">
        <x:v>5</x:v>
      </x:c>
      <x:c r="E6" s="78" t="n">
        <x:f>C6*$I$3*$I$5/1000+D6*$I$4*$I$5/1000</x:f>
        <x:v>49.69999999999999</x:v>
      </x:c>
      <x:c r="F6" s="78" t="n">
        <x:f>B6*$I$5*Entradas!$E$11/1000</x:f>
        <x:v>46.925042399999995</x:v>
      </x:c>
      <x:c r="G6" s="20"/>
      <x:c r="H6" s="20" t="str">
        <x:v>Lectura</x:v>
      </x:c>
      <x:c r="I6" s="20" t="str">
        <x:v>Factores editables; calibrados a ≈49,7 GWh/año por paquete de 15 MW eólico + 5 MWp solar.</x:v>
      </x:c>
    </x:row>
    <x:row r="7">
      <x:c r="A7" s="20" t="str">
        <x:v>Villarquemado</x:v>
      </x:c>
      <x:c r="B7" s="78" t="n">
        <x:v>3.93</x:v>
      </x:c>
      <x:c r="C7" s="78" t="n">
        <x:v>15</x:v>
      </x:c>
      <x:c r="D7" s="78" t="n">
        <x:v>5</x:v>
      </x:c>
      <x:c r="E7" s="78" t="n">
        <x:f>C7*$I$3*$I$5/1000+D7*$I$4*$I$5/1000</x:f>
        <x:v>49.69999999999999</x:v>
      </x:c>
      <x:c r="F7" s="78" t="n">
        <x:f>B7*$I$5*Entradas!$E$11/1000</x:f>
        <x:v>42.10397640000001</x:v>
      </x:c>
      <x:c r="G7" s="20"/>
      <x:c r="H7" s="20"/>
      <x:c r="I7" s="20"/>
    </x:row>
    <x:row r="8">
      <x:c r="A8" s="20" t="str">
        <x:v>Torremocha · Torrelacárcel · Alba</x:v>
      </x:c>
      <x:c r="B8" s="78" t="n">
        <x:v>3.1</x:v>
      </x:c>
      <x:c r="C8" s="78" t="n">
        <x:v>15</x:v>
      </x:c>
      <x:c r="D8" s="78" t="n">
        <x:v>5</x:v>
      </x:c>
      <x:c r="E8" s="78" t="n">
        <x:f>C8*$I$3*$I$5/1000+D8*$I$4*$I$5/1000</x:f>
        <x:v>49.69999999999999</x:v>
      </x:c>
      <x:c r="F8" s="78" t="n">
        <x:f>B8*$I$5*Entradas!$E$11/1000</x:f>
        <x:v>33.211788</x:v>
      </x:c>
      <x:c r="G8" s="20"/>
      <x:c r="H8" s="20"/>
      <x:c r="I8" s="20"/>
    </x:row>
    <x:row r="9">
      <x:c r="A9" s="20" t="str">
        <x:v>Villafranca del Campo</x:v>
      </x:c>
      <x:c r="B9" s="78" t="n">
        <x:v>1.27</x:v>
      </x:c>
      <x:c r="C9" s="78" t="n">
        <x:v>15</x:v>
      </x:c>
      <x:c r="D9" s="78" t="n">
        <x:v>5</x:v>
      </x:c>
      <x:c r="E9" s="78" t="n">
        <x:f>C9*$I$3*$I$5/1000+D9*$I$4*$I$5/1000</x:f>
        <x:v>49.69999999999999</x:v>
      </x:c>
      <x:c r="F9" s="78" t="n">
        <x:f>B9*$I$5*Entradas!$E$11/1000</x:f>
        <x:v>13.606119600000001</x:v>
      </x:c>
      <x:c r="G9" s="20"/>
      <x:c r="H9" s="20"/>
      <x:c r="I9" s="20"/>
    </x:row>
    <x:row r="10">
      <x:c r="A10" s="77" t="str">
        <x:v>TOTAL CORREDOR</x:v>
      </x:c>
      <x:c r="B10" s="79" t="n">
        <x:f>SUM(B4:B9)</x:f>
        <x:v>35.74</x:v>
      </x:c>
      <x:c r="C10" s="79" t="n">
        <x:f>SUM(C4:C9)</x:f>
        <x:v>90</x:v>
      </x:c>
      <x:c r="D10" s="79" t="n">
        <x:f>SUM(D4:D9)</x:f>
        <x:v>30</x:v>
      </x:c>
      <x:c r="E10" s="79" t="n">
        <x:f>SUM(E4:E9)</x:f>
        <x:v>298.19999999999993</x:v>
      </x:c>
      <x:c r="F10" s="79" t="n">
        <x:f>SUM(F4:F9)</x:f>
        <x:v>382.8997752000001</x:v>
      </x:c>
      <x:c r="G10" s="20"/>
      <x:c r="H10" s="20"/>
      <x:c r="I10" s="20"/>
    </x:row>
    <x:row r="11">
      <x:c r="A11" s="20"/>
      <x:c r="B11" s="20"/>
      <x:c r="C11" s="20"/>
      <x:c r="D11" s="20"/>
      <x:c r="E11" s="20"/>
      <x:c r="F11" s="20"/>
      <x:c r="G11" s="20"/>
      <x:c r="H11" s="20"/>
      <x:c r="I11" s="20"/>
    </x:row>
    <x:row r="12">
      <x:c r="A12" s="20"/>
      <x:c r="B12" s="20"/>
      <x:c r="C12" s="20"/>
      <x:c r="D12" s="20"/>
      <x:c r="E12" s="20"/>
      <x:c r="F12" s="20"/>
      <x:c r="G12" s="20"/>
      <x:c r="H12" s="20"/>
      <x:c r="I12" s="20"/>
    </x:row>
  </x:sheetData>
  <x:mergeCells>
    <x:mergeCell ref="A1:F1"/>
  </x:mergeCells>
  <x:pageMargins left="0.7" right="0.7" top="0.75" bottom="0.75" header="0.3" footer="0.3"/>
</x:worksheet>
</file>